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180" windowHeight="11640" activeTab="0"/>
  </bookViews>
  <sheets>
    <sheet name="Table 3-8M" sheetId="1" r:id="rId1"/>
  </sheets>
  <definedNames/>
  <calcPr fullCalcOnLoad="1" iterate="1" iterateCount="100" iterateDelta="0.001"/>
</workbook>
</file>

<file path=xl/sharedStrings.xml><?xml version="1.0" encoding="utf-8"?>
<sst xmlns="http://schemas.openxmlformats.org/spreadsheetml/2006/main" count="38" uniqueCount="38">
  <si>
    <t>2005 Rank</t>
  </si>
  <si>
    <t>Airport</t>
  </si>
  <si>
    <r>
      <t>Anchorage, AK (Ted Stevens Anchorage International)</t>
    </r>
    <r>
      <rPr>
        <vertAlign val="superscript"/>
        <sz val="10"/>
        <rFont val="Arial"/>
        <family val="2"/>
      </rPr>
      <t>2</t>
    </r>
  </si>
  <si>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</si>
  <si>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</si>
  <si>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</si>
  <si>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</si>
  <si>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</si>
  <si>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</si>
  <si>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</si>
  <si>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</si>
  <si>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</si>
  <si>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</si>
  <si>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</si>
  <si>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</si>
  <si>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</si>
  <si>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Honolulu, HI (Honolulu International)</t>
  </si>
  <si>
    <t>Covington/Cincinnati, OH (Cincinnati/Northern Kentucky International</t>
  </si>
  <si>
    <t>San Francisco, CA (San Francisco International)</t>
  </si>
  <si>
    <t>Dayton, OH (James M. Cox Dayton International)</t>
  </si>
  <si>
    <t>Phoenix, AZ (Sky Harbor International)</t>
  </si>
  <si>
    <t>Denver, CO (Denver International)</t>
  </si>
  <si>
    <t>Portland, OR (Portland International)</t>
  </si>
  <si>
    <t>Houston, TX (George Bush Intercontinental)</t>
  </si>
  <si>
    <t>Seattle, WA (Seattle-Tacoma International)</t>
  </si>
  <si>
    <t>Minneapolis, MN (Minneapolis-St Paul International/Wold-Chamberlain</t>
  </si>
  <si>
    <t>Chicago/Rockford, IL (Chicago/Rockford International)</t>
  </si>
  <si>
    <r>
      <t>Top 25 airports</t>
    </r>
    <r>
      <rPr>
        <vertAlign val="superscript"/>
        <sz val="10"/>
        <rFont val="Arial"/>
        <family val="2"/>
      </rPr>
      <t>3</t>
    </r>
  </si>
  <si>
    <r>
      <t>United States, all airports</t>
    </r>
    <r>
      <rPr>
        <vertAlign val="superscript"/>
        <sz val="10"/>
        <rFont val="Arial"/>
        <family val="2"/>
      </rPr>
      <t>4</t>
    </r>
  </si>
  <si>
    <t>Top 25 as % of U.S. total</t>
  </si>
  <si>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</si>
  <si>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r>
      <t>2</t>
    </r>
    <r>
      <rPr>
        <sz val="9"/>
        <rFont val="Arial"/>
        <family val="2"/>
      </rPr>
      <t>Anchorage includes a large proportion of all-cargo operations in-transit.</t>
    </r>
  </si>
  <si>
    <r>
      <t>3</t>
    </r>
    <r>
      <rPr>
        <sz val="9"/>
        <rFont val="Arial"/>
        <family val="2"/>
      </rPr>
      <t>Represents top 25 airports in the reference year not necessarily the airports shown here.</t>
    </r>
  </si>
  <si>
    <r>
      <t>4</t>
    </r>
    <r>
      <rPr>
        <sz val="9"/>
        <rFont val="Arial"/>
        <family val="2"/>
      </rPr>
      <t xml:space="preserve">Limited to airports with an aggregate landed weight in excess of 100 million pounds (50,000 short tons) annually. </t>
    </r>
  </si>
  <si>
    <t>Landed weight                                                                                                                                                                                                                                                                                                                                (thousands of metric tonnes)</t>
  </si>
  <si>
    <r>
      <t>Note:</t>
    </r>
    <r>
      <rPr>
        <sz val="9"/>
        <rFont val="Arial"/>
        <family val="2"/>
      </rPr>
      <t xml:space="preserve"> 1 short ton = 0.91 metric tonne.</t>
    </r>
  </si>
  <si>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 passenger/index as of June 8, 2007.</t>
    </r>
  </si>
  <si>
    <r>
      <t>Table 3-8M.  Top 25 Airports by Landed Weight of All-Cargo Operations: 2000-2005</t>
    </r>
    <r>
      <rPr>
        <vertAlign val="superscript"/>
        <sz val="12"/>
        <rFont val="Arial"/>
        <family val="2"/>
      </rPr>
      <t>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</si>
</sst>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s>
  <fonts count="13">
    <font>
      <sz val="10"/>
      <name val="Arial"/>
      <family val="0"/>
    </font>
    <font>
      <b/>
      <sz val="12"/>
      <name val="Arial"/>
      <family val="2"/>
    </font>
    <font>
      <vertAlign val="superscript"/>
      <sz val="12"/>
      <name val="Arial"/>
      <family val="2"/>
    </font>
    <font>
      <b/>
      <sz val="10"/>
      <name val="Arial"/>
      <family val="2"/>
    </font>
    <font>
      <sz val="12"/>
      <name val="Arial"/>
      <family val="0"/>
    </font>
    <font>
      <vertAlign val="superscript"/>
      <sz val="10"/>
      <name val="Arial"/>
      <family val="2"/>
    </font>
    <font>
      <b/>
      <sz val="10"/>
      <name val="Helv"/>
      <family val="0"/>
    </font>
    <font>
      <sz val="10"/>
      <name val="Arial Narrow"/>
      <family val="2"/>
    </font>
    <font>
      <vertAlign val="superscript"/>
      <sz val="9"/>
      <name val="Arial"/>
      <family val="2"/>
    </font>
    <font>
      <sz val="9"/>
      <name val="Arial"/>
      <family val="2"/>
    </font>
    <font>
      <sz val="10"/>
      <name val="Futura Md BT"/>
      <family val="2"/>
    </font>
    <font>
      <b/>
      <sz val="9"/>
      <name val="Arial"/>
      <family val="2"/>
    </font>
    <font>
      <sz val="8"/>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1">
      <alignment horizontal="left"/>
      <protection/>
    </xf>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0" fillId="0" borderId="0" xfId="0" applyFill="1" applyAlignment="1">
      <alignment/>
    </xf>
    <xf numFmtId="0" fontId="3" fillId="0" borderId="2" xfId="0" applyFont="1" applyFill="1" applyBorder="1" applyAlignment="1">
      <alignment/>
    </xf>
    <xf numFmtId="0" fontId="4" fillId="0" borderId="2" xfId="0" applyFont="1" applyFill="1" applyBorder="1" applyAlignment="1">
      <alignment/>
    </xf>
    <xf numFmtId="0" fontId="0" fillId="0" borderId="2" xfId="0" applyFill="1" applyBorder="1" applyAlignment="1">
      <alignment/>
    </xf>
    <xf numFmtId="0" fontId="0" fillId="0" borderId="0" xfId="0" applyFont="1" applyFill="1" applyAlignment="1">
      <alignment/>
    </xf>
    <xf numFmtId="0" fontId="3" fillId="0" borderId="3" xfId="0" applyFont="1" applyFill="1" applyBorder="1" applyAlignment="1">
      <alignment/>
    </xf>
    <xf numFmtId="0" fontId="3" fillId="0" borderId="4" xfId="0" applyFont="1" applyFill="1" applyBorder="1" applyAlignment="1">
      <alignment horizontal="right"/>
    </xf>
    <xf numFmtId="0" fontId="3" fillId="0" borderId="3" xfId="0" applyFont="1" applyFill="1" applyBorder="1" applyAlignment="1">
      <alignment horizontal="right"/>
    </xf>
    <xf numFmtId="3" fontId="0" fillId="0" borderId="0" xfId="0" applyNumberFormat="1" applyFill="1" applyAlignment="1">
      <alignment/>
    </xf>
    <xf numFmtId="3" fontId="0" fillId="0" borderId="3" xfId="0" applyNumberFormat="1" applyFill="1" applyBorder="1" applyAlignment="1">
      <alignment/>
    </xf>
    <xf numFmtId="0" fontId="3" fillId="0" borderId="4" xfId="0" applyFont="1" applyFill="1" applyBorder="1" applyAlignment="1">
      <alignment/>
    </xf>
    <xf numFmtId="2" fontId="3" fillId="0" borderId="3" xfId="20" applyNumberFormat="1" applyFont="1" applyFill="1" applyBorder="1" applyAlignment="1">
      <alignment horizontal="left"/>
      <protection/>
    </xf>
    <xf numFmtId="3" fontId="3" fillId="0" borderId="4" xfId="0" applyNumberFormat="1" applyFont="1" applyFill="1" applyBorder="1" applyAlignment="1">
      <alignment/>
    </xf>
    <xf numFmtId="3" fontId="3" fillId="0" borderId="4" xfId="15" applyNumberFormat="1" applyFont="1" applyFill="1" applyBorder="1" applyAlignment="1">
      <alignment/>
    </xf>
    <xf numFmtId="164" fontId="3" fillId="0" borderId="3" xfId="19" applyNumberFormat="1" applyFont="1" applyFill="1" applyBorder="1" applyAlignment="1">
      <alignment horizontal="left"/>
      <protection/>
    </xf>
    <xf numFmtId="164" fontId="3" fillId="0" borderId="3" xfId="19" applyNumberFormat="1" applyFont="1" applyFill="1" applyBorder="1" applyAlignment="1">
      <alignment horizontal="left" vertical="center"/>
      <protection/>
    </xf>
    <xf numFmtId="0" fontId="7" fillId="0" borderId="0" xfId="0" applyFont="1" applyFill="1" applyBorder="1" applyAlignment="1">
      <alignment/>
    </xf>
    <xf numFmtId="0" fontId="7" fillId="0" borderId="0" xfId="0"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3" xfId="0" applyFont="1" applyFill="1" applyBorder="1" applyAlignment="1">
      <alignment/>
    </xf>
    <xf numFmtId="3" fontId="3" fillId="0" borderId="0" xfId="15" applyNumberFormat="1" applyFont="1" applyFill="1" applyAlignment="1">
      <alignment/>
    </xf>
    <xf numFmtId="3" fontId="3" fillId="0" borderId="5" xfId="0" applyNumberFormat="1" applyFont="1" applyFill="1" applyBorder="1" applyAlignment="1">
      <alignment/>
    </xf>
    <xf numFmtId="165" fontId="3" fillId="0" borderId="4" xfId="0" applyNumberFormat="1" applyFont="1" applyFill="1" applyBorder="1" applyAlignment="1">
      <alignment/>
    </xf>
    <xf numFmtId="0" fontId="11" fillId="0" borderId="0" xfId="0" applyFont="1" applyFill="1" applyAlignment="1">
      <alignment wrapText="1"/>
    </xf>
    <xf numFmtId="0" fontId="0" fillId="0" borderId="0" xfId="0" applyFill="1" applyAlignment="1">
      <alignment wrapText="1"/>
    </xf>
    <xf numFmtId="0" fontId="8" fillId="0" borderId="0" xfId="0" applyFont="1" applyFill="1" applyAlignment="1">
      <alignment wrapText="1"/>
    </xf>
    <xf numFmtId="0" fontId="8" fillId="0" borderId="0" xfId="0" applyFont="1" applyFill="1" applyAlignment="1">
      <alignment horizontal="left" wrapText="1"/>
    </xf>
    <xf numFmtId="0" fontId="3" fillId="0" borderId="6" xfId="0" applyFont="1" applyFill="1" applyBorder="1" applyAlignment="1">
      <alignment horizontal="right" wrapText="1"/>
    </xf>
    <xf numFmtId="0" fontId="3" fillId="0" borderId="3" xfId="0" applyFont="1" applyFill="1" applyBorder="1" applyAlignment="1">
      <alignment horizontal="right" wrapText="1"/>
    </xf>
    <xf numFmtId="0" fontId="3" fillId="0" borderId="7" xfId="0" applyFont="1" applyFill="1" applyBorder="1" applyAlignment="1">
      <alignment horizontal="center" wrapText="1"/>
    </xf>
    <xf numFmtId="0" fontId="1"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Hed Side" xfId="19"/>
    <cellStyle name="Normal_Enplanement California"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workbookViewId="0" topLeftCell="A1">
      <selection activeCell="A1" sqref="A1:G1"/>
    </sheetView>
  </sheetViews>
  <sheetFormatPr defaultColWidth="9.140625" defaultRowHeight="12.75"/>
  <cols>
    <col min="1" max="1" width="55.28125" style="1" customWidth="1"/>
    <col min="2" max="2" width="9.28125" style="1" bestFit="1" customWidth="1"/>
    <col min="3" max="3" width="11.140625" style="1" customWidth="1"/>
    <col min="4" max="4" width="9.28125" style="1" bestFit="1" customWidth="1"/>
    <col min="5" max="5" width="9.8515625" style="1" bestFit="1" customWidth="1"/>
    <col min="6" max="6" width="9.28125" style="1" bestFit="1" customWidth="1"/>
    <col min="7" max="7" width="9.8515625" style="1" bestFit="1" customWidth="1"/>
    <col min="8" max="16384" width="9.140625" style="1" customWidth="1"/>
  </cols>
  <sheetData>
    <row r="1" spans="1:7" ht="15.75" customHeight="1">
      <c r="A1" s="38" t="s">
        <v>37</v>
      </c>
      <c r="B1" s="38"/>
      <c r="C1" s="38"/>
      <c r="D1" s="38"/>
      <c r="E1" s="38"/>
      <c r="F1" s="38"/>
      <c r="G1" s="38"/>
    </row>
    <row r="2" spans="1:6" ht="15.75" thickBot="1">
      <c r="A2" s="2"/>
      <c r="B2" s="3"/>
      <c r="C2" s="3"/>
      <c r="D2" s="3"/>
      <c r="F2" s="4"/>
    </row>
    <row r="3" spans="1:7" ht="26.25" customHeight="1">
      <c r="A3" s="5"/>
      <c r="B3" s="35" t="s">
        <v>0</v>
      </c>
      <c r="C3" s="37" t="s">
        <v>34</v>
      </c>
      <c r="D3" s="37"/>
      <c r="E3" s="37"/>
      <c r="F3" s="37"/>
      <c r="G3" s="37"/>
    </row>
    <row r="4" spans="1:7" ht="12.75">
      <c r="A4" s="6" t="s">
        <v>1</v>
      </c>
      <c r="B4" s="36"/>
      <c r="C4" s="7">
        <v>2000</v>
      </c>
      <c r="D4" s="8">
        <v>2002</v>
      </c>
      <c r="E4" s="7">
        <v>2003</v>
      </c>
      <c r="F4" s="7">
        <v>2004</v>
      </c>
      <c r="G4" s="7">
        <v>2005</v>
      </c>
    </row>
    <row r="5" spans="1:7" ht="14.25">
      <c r="A5" s="25" t="s">
        <v>2</v>
      </c>
      <c r="B5" s="5">
        <v>1</v>
      </c>
      <c r="C5" s="9">
        <f>0.90718474*8083.5914275</f>
        <v>7333.310787422816</v>
      </c>
      <c r="D5" s="9">
        <f>0.90718474*8993.687882</f>
        <v>8158.936402873322</v>
      </c>
      <c r="E5" s="9">
        <f>0.90718474*18014542.695/2000</f>
        <v>8171.259115491238</v>
      </c>
      <c r="F5" s="9">
        <f>0.90718474*9844.3836255</f>
        <v>8930.674599759475</v>
      </c>
      <c r="G5" s="9">
        <f>10363.938802*0.90718474</f>
        <v>9402.007127468283</v>
      </c>
    </row>
    <row r="6" spans="1:7" ht="12.75">
      <c r="A6" s="25" t="s">
        <v>3</v>
      </c>
      <c r="B6" s="5">
        <v>2</v>
      </c>
      <c r="C6" s="9">
        <f>0.90718474*6318.31767</f>
        <v>5731.881372696356</v>
      </c>
      <c r="D6" s="9">
        <f>0.90718474*8826.30141</f>
        <v>8007.085949792484</v>
      </c>
      <c r="E6" s="9">
        <f>0.90718474*17519286.605/2000</f>
        <v>7946.614731871205</v>
      </c>
      <c r="F6" s="9">
        <f>0.90718474*8885.4584585</f>
        <v>8060.752321455123</v>
      </c>
      <c r="G6" s="9">
        <f>9343.4974025*0.90718474</f>
        <v>8476.278261777637</v>
      </c>
    </row>
    <row r="7" spans="1:7" ht="12.75">
      <c r="A7" s="25" t="s">
        <v>4</v>
      </c>
      <c r="B7" s="5">
        <v>3</v>
      </c>
      <c r="C7" s="9">
        <f>0.90718474*3986.7175625</f>
        <v>3616.6893353899964</v>
      </c>
      <c r="D7" s="9">
        <f>0.90718474*4201.53475</f>
        <v>3811.568209779715</v>
      </c>
      <c r="E7" s="9">
        <f>0.90718474*8344890.14/2000</f>
        <v>3785.1784959922315</v>
      </c>
      <c r="F7" s="9">
        <f>0.90718474*4388.3078025</f>
        <v>3981.0058728509343</v>
      </c>
      <c r="G7" s="9">
        <f>4591.0570595*0.90718474</f>
        <v>4164.936904847672</v>
      </c>
    </row>
    <row r="8" spans="1:7" ht="12.75">
      <c r="A8" s="25" t="s">
        <v>5</v>
      </c>
      <c r="B8" s="5">
        <v>4</v>
      </c>
      <c r="C8" s="9">
        <f>0.90718474*2929.2392275</f>
        <v>2657.3611269973885</v>
      </c>
      <c r="D8" s="9">
        <f>0.90718474*3173.603312</f>
        <v>2879.0444954598593</v>
      </c>
      <c r="E8" s="9">
        <f>0.90718474*6477473.769/2000</f>
        <v>2938.1326784935427</v>
      </c>
      <c r="F8" s="9">
        <f>0.90718474*3423.348856</f>
        <v>3105.6098418596575</v>
      </c>
      <c r="G8" s="9">
        <f>3550.343823*0.90718474</f>
        <v>3220.8177379788613</v>
      </c>
    </row>
    <row r="9" spans="1:7" ht="12.75">
      <c r="A9" s="25" t="s">
        <v>6</v>
      </c>
      <c r="B9" s="5">
        <v>5</v>
      </c>
      <c r="C9" s="9">
        <f>0.90718474*2892.155265</f>
        <v>2623.7191221186563</v>
      </c>
      <c r="D9" s="9">
        <f>0.90718474*3037.832695</f>
        <v>2755.8754635770747</v>
      </c>
      <c r="E9" s="9">
        <f>0.90718474*6239413.53/2000</f>
        <v>2830.1503704827664</v>
      </c>
      <c r="F9" s="9">
        <f>0.90718474*3062.19324</f>
        <v>2777.974978259158</v>
      </c>
      <c r="G9" s="9">
        <f>2926.63825*0.90718474</f>
        <v>2655.001559900305</v>
      </c>
    </row>
    <row r="10" spans="1:7" ht="12.75">
      <c r="A10" s="25" t="s">
        <v>7</v>
      </c>
      <c r="B10" s="5">
        <v>6</v>
      </c>
      <c r="C10" s="9">
        <f>0.90718474*2793.1318505</f>
        <v>2533.8865915815613</v>
      </c>
      <c r="D10" s="9">
        <f>0.90718474*2912.21021</f>
        <v>2641.9126621841956</v>
      </c>
      <c r="E10" s="9">
        <f>0.90718474*5873957.8/2000</f>
        <v>2664.3824397819862</v>
      </c>
      <c r="F10" s="9">
        <f>0.90718474*2898.269</f>
        <v>2629.26540921506</v>
      </c>
      <c r="G10" s="9">
        <f>2811.25319*0.90718474</f>
        <v>2550.3259942443206</v>
      </c>
    </row>
    <row r="11" spans="1:7" ht="12.75">
      <c r="A11" s="26" t="s">
        <v>8</v>
      </c>
      <c r="B11" s="5">
        <v>7</v>
      </c>
      <c r="C11" s="9">
        <f>0.90718474*2061.633869</f>
        <v>1870.282785423959</v>
      </c>
      <c r="D11" s="9">
        <f>0.90718474*2216.936825</f>
        <v>2011.1712571840508</v>
      </c>
      <c r="E11" s="9">
        <f>0.90718474*4702456.65/2000</f>
        <v>2132.9984566957605</v>
      </c>
      <c r="F11" s="9">
        <f>0.90718474*2359.06435</f>
        <v>2140.107178998019</v>
      </c>
      <c r="G11" s="9">
        <f>2544.692264*0.90718474</f>
        <v>2308.505989896851</v>
      </c>
    </row>
    <row r="12" spans="1:7" ht="12.75">
      <c r="A12" s="25" t="s">
        <v>9</v>
      </c>
      <c r="B12" s="5">
        <v>8</v>
      </c>
      <c r="C12" s="9">
        <f>0.90718474*2883.93193</f>
        <v>2616.2590380947486</v>
      </c>
      <c r="D12" s="9">
        <f>0.90718474*2337.81551</f>
        <v>2120.8305556073174</v>
      </c>
      <c r="E12" s="9">
        <f>0.90718474*4553635.744/2000</f>
        <v>2065.494429237673</v>
      </c>
      <c r="F12" s="9">
        <f>0.90718474*2313.823143</f>
        <v>2099.065046388438</v>
      </c>
      <c r="G12" s="9">
        <f>2412.057825*0.90718474</f>
        <v>2188.1820508375904</v>
      </c>
    </row>
    <row r="13" spans="1:7" ht="12.75">
      <c r="A13" s="25" t="s">
        <v>10</v>
      </c>
      <c r="B13" s="5">
        <v>9</v>
      </c>
      <c r="C13" s="9">
        <f>0.90718474*1960.52254</f>
        <v>1778.5561307140397</v>
      </c>
      <c r="D13" s="9">
        <f>0.90718474*1758.053362</f>
        <v>1594.879182112096</v>
      </c>
      <c r="E13" s="9">
        <f>0.90718474*3669423.73/2000</f>
        <v>1664.4226062249402</v>
      </c>
      <c r="F13" s="9">
        <f>0.90718474*1764.5365045</f>
        <v>1600.7605900553415</v>
      </c>
      <c r="G13" s="9">
        <f>1870.36064*0.90718474</f>
        <v>1696.7626309046339</v>
      </c>
    </row>
    <row r="14" spans="1:7" ht="12.75">
      <c r="A14" s="25" t="s">
        <v>11</v>
      </c>
      <c r="B14" s="5">
        <v>10</v>
      </c>
      <c r="C14" s="9">
        <f>0.90718474*1810.662682</f>
        <v>1642.6055543978728</v>
      </c>
      <c r="D14" s="9">
        <f>0.90718474*1746.363965</f>
        <v>1584.2747395338943</v>
      </c>
      <c r="E14" s="9">
        <f>0.90718474*3389205/2000</f>
        <v>1537.31752836585</v>
      </c>
      <c r="F14" s="9">
        <f>0.90718474*1702.89283</f>
        <v>1544.8383892314143</v>
      </c>
      <c r="G14" s="9">
        <f>1797.4913525*0.90718474</f>
        <v>1630.6567252699608</v>
      </c>
    </row>
    <row r="15" spans="1:7" ht="12.75">
      <c r="A15" s="25" t="s">
        <v>12</v>
      </c>
      <c r="B15" s="5">
        <v>11</v>
      </c>
      <c r="C15" s="9">
        <f>0.90718474*1691.4481455</f>
        <v>1534.4559460988999</v>
      </c>
      <c r="D15" s="9">
        <f>0.90718474*1480.611235</f>
        <v>1343.1879182645541</v>
      </c>
      <c r="E15" s="9">
        <f>0.90718474*2962278.623/2000</f>
        <v>1343.6669812069067</v>
      </c>
      <c r="F15" s="9">
        <f>0.90718474*1430.9744715</f>
        <v>1298.158203874365</v>
      </c>
      <c r="G15" s="9">
        <f>1655.1596085*0.90718474</f>
        <v>1501.5355390955744</v>
      </c>
    </row>
    <row r="16" spans="1:7" ht="12.75">
      <c r="A16" s="25" t="s">
        <v>13</v>
      </c>
      <c r="B16" s="5">
        <v>12</v>
      </c>
      <c r="C16" s="9">
        <f>0.90718474*1453.785214</f>
        <v>1318.8517613784345</v>
      </c>
      <c r="D16" s="9">
        <f>0.90718474*1466.103774</f>
        <v>1330.0269710292087</v>
      </c>
      <c r="E16" s="9">
        <f>0.90718474*2730153.554/2000</f>
        <v>1238.376821022783</v>
      </c>
      <c r="F16" s="9">
        <f>0.90718474*1371.394274</f>
        <v>1244.1079578961787</v>
      </c>
      <c r="G16" s="9">
        <f>1400.850231*0.90718474</f>
        <v>1270.8299525886748</v>
      </c>
    </row>
    <row r="17" spans="1:7" ht="12.75">
      <c r="A17" s="25" t="s">
        <v>14</v>
      </c>
      <c r="B17" s="5">
        <v>13</v>
      </c>
      <c r="C17" s="9">
        <f>0.90718474*1219.845886</f>
        <v>1106.6255729309798</v>
      </c>
      <c r="D17" s="9">
        <f>0.90718474*1443.813025</f>
        <v>1309.8051436932385</v>
      </c>
      <c r="E17" s="9">
        <f>0.90718474*2675116.11/2000</f>
        <v>1213.4122563600808</v>
      </c>
      <c r="F17" s="9">
        <f>0.90718474*1325.853481</f>
        <v>1202.79404543908</v>
      </c>
      <c r="G17" s="9">
        <f>1343.87108*0.90718474</f>
        <v>1219.1393363033192</v>
      </c>
    </row>
    <row r="18" spans="1:7" ht="12.75">
      <c r="A18" s="25" t="s">
        <v>15</v>
      </c>
      <c r="B18" s="5">
        <v>14</v>
      </c>
      <c r="C18" s="9">
        <f>0.90718474*1089.683175</f>
        <v>988.5439477947494</v>
      </c>
      <c r="D18" s="9">
        <f>0.90718474*1166.193575</f>
        <v>1057.9530151260456</v>
      </c>
      <c r="E18" s="9">
        <f>0.90718474*2387175.996/2000</f>
        <v>1082.8048176327504</v>
      </c>
      <c r="F18" s="9">
        <f>0.90718474*1162.409498</f>
        <v>1054.5201582166605</v>
      </c>
      <c r="G18" s="9">
        <f>1013.567557*0.90718474</f>
        <v>919.4930206694802</v>
      </c>
    </row>
    <row r="19" spans="1:7" ht="12.75">
      <c r="A19" s="25" t="s">
        <v>16</v>
      </c>
      <c r="B19" s="5">
        <v>15</v>
      </c>
      <c r="C19" s="9">
        <f>0.90718474*912.4763045</f>
        <v>827.7845790539933</v>
      </c>
      <c r="D19" s="9">
        <f>0.90718474*1042.895027</f>
        <v>946.098453916288</v>
      </c>
      <c r="E19" s="9">
        <f>0.90718474*2196598.154/2000</f>
        <v>996.3601626104851</v>
      </c>
      <c r="F19" s="9">
        <f>0.90718474*1141.148025</f>
        <v>1035.2320743611385</v>
      </c>
      <c r="G19" s="9">
        <f>827.92425*0.90718474</f>
        <v>751.080245475945</v>
      </c>
    </row>
    <row r="20" spans="1:7" ht="12.75">
      <c r="A20" s="25" t="s">
        <v>17</v>
      </c>
      <c r="B20" s="5">
        <v>16</v>
      </c>
      <c r="C20" s="9">
        <f>0.90718474*691.73705</f>
        <v>627.533295852617</v>
      </c>
      <c r="D20" s="9">
        <f>0.90718474*970.49215</f>
        <v>880.4156687697911</v>
      </c>
      <c r="E20" s="9">
        <f>0.90718474*2034907.9/2000</f>
        <v>923.018697092723</v>
      </c>
      <c r="F20" s="9">
        <f>969.82655*0.90718474</f>
        <v>879.8118466068471</v>
      </c>
      <c r="G20" s="9">
        <f>812.2972075*0.90718474</f>
        <v>736.9036309886136</v>
      </c>
    </row>
    <row r="21" spans="1:7" ht="12.75">
      <c r="A21" s="25" t="s">
        <v>18</v>
      </c>
      <c r="B21" s="5">
        <v>17</v>
      </c>
      <c r="C21" s="9">
        <f>0.90718474*920.377775</f>
        <v>834.9526725151536</v>
      </c>
      <c r="D21" s="9">
        <f>0.90718474*867.450975</f>
        <v>786.9382872181216</v>
      </c>
      <c r="E21" s="9">
        <f>0.90718474*1558970.75/2000</f>
        <v>707.1372372531775</v>
      </c>
      <c r="F21" s="9">
        <f>0.90718474*801.383925</f>
        <v>727.0032676413045</v>
      </c>
      <c r="G21" s="9">
        <f>796.729275*0.90718474</f>
        <v>722.7806401912636</v>
      </c>
    </row>
    <row r="22" spans="1:7" ht="12.75">
      <c r="A22" s="25" t="s">
        <v>19</v>
      </c>
      <c r="B22" s="5">
        <v>18</v>
      </c>
      <c r="C22" s="9">
        <f>0.90718474*2232.86575</f>
        <v>2025.621734868655</v>
      </c>
      <c r="D22" s="9">
        <f>0.90718474*896.7628</f>
        <v>813.529527559672</v>
      </c>
      <c r="E22" s="9">
        <f>0.90718474*1568936.8/2000</f>
        <v>711.6577614922161</v>
      </c>
      <c r="F22" s="9">
        <f>0.90718474*786.700005</f>
        <v>713.6822394939238</v>
      </c>
      <c r="G22" s="9">
        <f>788.57677*0.90718474</f>
        <v>715.3848120624898</v>
      </c>
    </row>
    <row r="23" spans="1:7" ht="12.75">
      <c r="A23" s="25" t="s">
        <v>20</v>
      </c>
      <c r="B23" s="5">
        <v>19</v>
      </c>
      <c r="C23" s="9">
        <f>0.90718474*900.141326</f>
        <v>816.5944747905653</v>
      </c>
      <c r="D23" s="9">
        <f>0.90718474*782.674328</f>
        <v>710.0302067513547</v>
      </c>
      <c r="E23" s="9">
        <f>0.90718474*1494533.27/2000</f>
        <v>677.90888798315</v>
      </c>
      <c r="F23" s="9">
        <f>0.90718474*763.088653</f>
        <v>692.2623812687552</v>
      </c>
      <c r="G23" s="9">
        <f>778.016163*0.90718474</f>
        <v>705.8043905469526</v>
      </c>
    </row>
    <row r="24" spans="1:7" ht="12.75">
      <c r="A24" s="25" t="s">
        <v>21</v>
      </c>
      <c r="B24" s="5">
        <v>20</v>
      </c>
      <c r="C24" s="9">
        <f>0.90718474*1267.021325</f>
        <v>1149.4224112945806</v>
      </c>
      <c r="D24" s="9">
        <f>0.90718474*1034.891825</f>
        <v>938.8380711907505</v>
      </c>
      <c r="E24" s="9">
        <f>0.90718474*2399995.852/2000</f>
        <v>1088.6198064988494</v>
      </c>
      <c r="F24" s="9">
        <f>0.90718474*739.78713</f>
        <v>671.1235951843963</v>
      </c>
      <c r="G24" s="9">
        <f>762.960872*0.90718474</f>
        <v>692.1464602954933</v>
      </c>
    </row>
    <row r="25" spans="1:7" ht="12.75">
      <c r="A25" s="25" t="s">
        <v>22</v>
      </c>
      <c r="B25" s="5">
        <v>21</v>
      </c>
      <c r="C25" s="9">
        <f>0.90718474*881.86742</f>
        <v>800.0166661271709</v>
      </c>
      <c r="D25" s="9">
        <f>0.90718474*815.89949</f>
        <v>740.1715667017827</v>
      </c>
      <c r="E25" s="9">
        <f>0.90718474*1497545.97/2000</f>
        <v>679.275425716249</v>
      </c>
      <c r="F25" s="9">
        <f>0.90718474*717.8778175</f>
        <v>651.2478012205049</v>
      </c>
      <c r="G25" s="9">
        <f>746.653604*0.90718474</f>
        <v>677.352755614803</v>
      </c>
    </row>
    <row r="26" spans="1:7" ht="12.75">
      <c r="A26" s="25" t="s">
        <v>23</v>
      </c>
      <c r="B26" s="5">
        <v>22</v>
      </c>
      <c r="C26" s="9">
        <f>0.90718474*959080.612/2000</f>
        <v>435.03164781813047</v>
      </c>
      <c r="D26" s="9">
        <f>0.90718474*964367.027/2000</f>
        <v>437.429525326784</v>
      </c>
      <c r="E26" s="9">
        <f>0.90718474*1332231.352/2000</f>
        <v>604.2899763419842</v>
      </c>
      <c r="F26" s="9">
        <f>0.90718474*697.0436375</f>
        <v>632.3473510540919</v>
      </c>
      <c r="G26" s="9">
        <f>709.753265*0.90718474</f>
        <v>643.8773311731762</v>
      </c>
    </row>
    <row r="27" spans="1:7" ht="12.75">
      <c r="A27" s="25" t="s">
        <v>24</v>
      </c>
      <c r="B27" s="5">
        <v>23</v>
      </c>
      <c r="C27" s="9">
        <f>0.90718474*1243342.16/2000</f>
        <v>563.9705170753192</v>
      </c>
      <c r="D27" s="9">
        <f>0.90718474*1242440.3/2000</f>
        <v>563.5614402605111</v>
      </c>
      <c r="E27" s="9">
        <f>0.90718474*1374625.2/2000</f>
        <v>623.519502329724</v>
      </c>
      <c r="F27" s="9">
        <f>0.90718474*678.113425</f>
        <v>615.1741511491346</v>
      </c>
      <c r="G27" s="9">
        <f>708.6282305*0.90718474</f>
        <v>642.8567170428025</v>
      </c>
    </row>
    <row r="28" spans="1:7" ht="12.75">
      <c r="A28" s="25" t="s">
        <v>25</v>
      </c>
      <c r="B28" s="5">
        <v>24</v>
      </c>
      <c r="C28" s="9">
        <f>0.90718474*653.75692</f>
        <v>593.0783014934009</v>
      </c>
      <c r="D28" s="9">
        <f>0.90718474*630.344195</f>
        <v>571.8386346515844</v>
      </c>
      <c r="E28" s="9">
        <f>0.90718474*625.350192</f>
        <v>567.3081513384701</v>
      </c>
      <c r="F28" s="9">
        <f>0.90718474*676.756376</f>
        <v>613.9430570049024</v>
      </c>
      <c r="G28" s="9">
        <f>702.3132185*0.90718474</f>
        <v>637.1278345234857</v>
      </c>
    </row>
    <row r="29" spans="1:7" ht="12.75">
      <c r="A29" s="27" t="s">
        <v>26</v>
      </c>
      <c r="B29" s="5">
        <v>25</v>
      </c>
      <c r="C29" s="10">
        <f>0.90718474*751.410932</f>
        <v>681.6685309795777</v>
      </c>
      <c r="D29" s="10">
        <f>0.90718474*582.774111</f>
        <v>528.6837803662661</v>
      </c>
      <c r="E29" s="10">
        <f>0.90718474*599.3527515</f>
        <v>543.7236700378121</v>
      </c>
      <c r="F29" s="10">
        <f>0.90718474*620.8848485</f>
        <v>563.2572598564119</v>
      </c>
      <c r="G29" s="9">
        <f>696.27952*0.90718474</f>
        <v>631.6541553185249</v>
      </c>
    </row>
    <row r="30" spans="1:7" ht="14.25">
      <c r="A30" s="11" t="s">
        <v>27</v>
      </c>
      <c r="B30" s="11"/>
      <c r="C30" s="28">
        <f>SUM(C5:C29)</f>
        <v>46708.70390490963</v>
      </c>
      <c r="D30" s="28">
        <f>SUM(D5:D29)</f>
        <v>48524.08712892997</v>
      </c>
      <c r="E30" s="28">
        <f>SUM(E5:E29)</f>
        <v>48737.03100755457</v>
      </c>
      <c r="F30" s="29">
        <f>SUM(F5:F29)</f>
        <v>49464.71961834032</v>
      </c>
      <c r="G30" s="13">
        <f>SUM(G5:G29)</f>
        <v>50761.44180501671</v>
      </c>
    </row>
    <row r="31" spans="1:7" ht="14.25">
      <c r="A31" s="12" t="s">
        <v>28</v>
      </c>
      <c r="B31" s="12"/>
      <c r="C31" s="13">
        <f>74743*0.90718474</f>
        <v>67805.70902182</v>
      </c>
      <c r="D31" s="13">
        <f>73433*0.90718474</f>
        <v>66617.29701242001</v>
      </c>
      <c r="E31" s="14">
        <f>73072*0.90718474</f>
        <v>66289.80332128001</v>
      </c>
      <c r="F31" s="13">
        <f>74297*0.90718474</f>
        <v>67401.10462778</v>
      </c>
      <c r="G31" s="13">
        <f>76091*0.90718474</f>
        <v>69028.59405134</v>
      </c>
    </row>
    <row r="32" spans="1:7" ht="12.75">
      <c r="A32" s="15" t="s">
        <v>29</v>
      </c>
      <c r="B32" s="16"/>
      <c r="C32" s="30">
        <f>C30/C31</f>
        <v>0.6888609318999773</v>
      </c>
      <c r="D32" s="30">
        <f>D30/D31</f>
        <v>0.7284007203096701</v>
      </c>
      <c r="E32" s="30">
        <f>E30/E31</f>
        <v>0.7352115795448327</v>
      </c>
      <c r="F32" s="30">
        <f>F30/F31</f>
        <v>0.7338858894302597</v>
      </c>
      <c r="G32" s="30">
        <f>G30/G31</f>
        <v>0.7353683281925588</v>
      </c>
    </row>
    <row r="33" spans="1:4" ht="12.75">
      <c r="A33" s="17"/>
      <c r="B33" s="18"/>
      <c r="C33" s="19"/>
      <c r="D33" s="20"/>
    </row>
    <row r="34" spans="1:4" ht="39.75" customHeight="1">
      <c r="A34" s="33" t="s">
        <v>30</v>
      </c>
      <c r="B34" s="32"/>
      <c r="C34" s="32"/>
      <c r="D34" s="32"/>
    </row>
    <row r="35" spans="1:4" ht="12.75">
      <c r="A35" s="33" t="s">
        <v>31</v>
      </c>
      <c r="B35" s="32"/>
      <c r="C35" s="32"/>
      <c r="D35" s="32"/>
    </row>
    <row r="36" spans="1:6" ht="13.5">
      <c r="A36" s="34" t="s">
        <v>32</v>
      </c>
      <c r="B36" s="34"/>
      <c r="C36" s="34"/>
      <c r="D36" s="34"/>
      <c r="F36" s="9"/>
    </row>
    <row r="37" spans="1:4" ht="12.75">
      <c r="A37" s="33" t="s">
        <v>33</v>
      </c>
      <c r="B37" s="32"/>
      <c r="C37" s="32"/>
      <c r="D37" s="32"/>
    </row>
    <row r="38" spans="1:4" ht="12.75">
      <c r="A38" s="21"/>
      <c r="B38" s="22"/>
      <c r="C38" s="23"/>
      <c r="D38" s="24"/>
    </row>
    <row r="39" spans="1:4" ht="12.75">
      <c r="A39" s="31" t="s">
        <v>35</v>
      </c>
      <c r="B39" s="32"/>
      <c r="C39" s="32"/>
      <c r="D39" s="32"/>
    </row>
    <row r="40" spans="1:4" ht="12.75">
      <c r="A40" s="21"/>
      <c r="B40" s="22"/>
      <c r="C40" s="23"/>
      <c r="D40" s="24"/>
    </row>
    <row r="41" spans="1:4" ht="48" customHeight="1">
      <c r="A41" s="31" t="s">
        <v>36</v>
      </c>
      <c r="B41" s="32"/>
      <c r="C41" s="32"/>
      <c r="D41" s="32"/>
    </row>
  </sheetData>
  <mergeCells count="9">
    <mergeCell ref="B3:B4"/>
    <mergeCell ref="A34:D34"/>
    <mergeCell ref="C3:G3"/>
    <mergeCell ref="A1:G1"/>
    <mergeCell ref="A41:D41"/>
    <mergeCell ref="A35:D35"/>
    <mergeCell ref="A36:D36"/>
    <mergeCell ref="A37:D37"/>
    <mergeCell ref="A39:D39"/>
  </mergeCells>
  <printOptions/>
  <pageMargins left="0.75" right="0.75" top="1" bottom="1"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2007-10-02T21:11:51Z</cp:lastPrinted>
  <dcterms:created xsi:type="dcterms:W3CDTF">2007-06-08T20:31:19Z</dcterms:created>
  <dcterms:modified xsi:type="dcterms:W3CDTF">2008-02-07T18:48:48Z</dcterms:modified>
  <cp:category/>
  <cp:version/>
  <cp:contentType/>
  <cp:contentStatus/>
</cp:coreProperties>
</file>