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1236" windowWidth="12120" windowHeight="7056" activeTab="0"/>
  </bookViews>
  <sheets>
    <sheet name="Table 5-7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5-7M'!$A$1:$H$26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<sst xmlns="http://schemas.openxmlformats.org/spreadsheetml/2006/main" count="25" uniqueCount="25">
  <si>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Highway</t>
  </si>
  <si>
    <t xml:space="preserve">Water </t>
  </si>
  <si>
    <t>Pipeline</t>
  </si>
  <si>
    <t>Rail, Class I (in freight service)</t>
  </si>
  <si>
    <t>Single-unit 2-axle 6-tire or more truck</t>
  </si>
  <si>
    <t>Combination truck</t>
  </si>
  <si>
    <t>1980</t>
  </si>
  <si>
    <t>1990</t>
  </si>
  <si>
    <t>2000</t>
  </si>
  <si>
    <t>2001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</si>
  <si>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</si>
  <si>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</si>
  <si>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</si>
  <si>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November 2005), p. 40.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</si>
  <si>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2004</t>
    </r>
    <r>
      <rPr>
        <sz val="9"/>
        <rFont val="Arial"/>
        <family val="2"/>
      </rPr>
      <t>, DOE/EIA-0131(04) (Washington, DC: December 2005), table 15 and similar tables in earlier editions.</t>
    </r>
  </si>
  <si>
    <r>
      <t>Sources:  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</t>
    </r>
  </si>
  <si>
    <t>Gasoline, diesel and other fuels (million liters)</t>
  </si>
  <si>
    <t>Distillate / diesel fuel (million liters)</t>
  </si>
  <si>
    <t>Residual fuel oil (million liters)</t>
  </si>
  <si>
    <t>Distillate / diesel fuel oil (million liters)</t>
  </si>
  <si>
    <t>Gasoline (million liters)</t>
  </si>
  <si>
    <t>Natural gas (million cubic meters)</t>
  </si>
  <si>
    <t>Table 5-7M.  Fuel Consumption by Transportation Mode</t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</si>
  <si>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2004</t>
    </r>
    <r>
      <rPr>
        <sz val="9"/>
        <rFont val="Arial"/>
        <family val="2"/>
      </rPr>
      <t xml:space="preserve"> (Washington, DC:  2005), tables 2, 4, and similar tables in earlier editions.</t>
    </r>
  </si>
  <si>
    <r>
      <t>Note:</t>
    </r>
    <r>
      <rPr>
        <sz val="9"/>
        <rFont val="Arial"/>
        <family val="2"/>
      </rPr>
      <t xml:space="preserve"> 1 gallon = 3.8 liters; 1 cubic foot = 0.03 cubic meters.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</si>
</sst>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1" fontId="1" fillId="0" borderId="0" xfId="41" applyNumberFormat="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9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0" fontId="20" fillId="0" borderId="0" xfId="40" applyFont="1" applyFill="1" applyBorder="1" applyAlignment="1">
      <alignment wrapText="1"/>
      <protection/>
    </xf>
    <xf numFmtId="172" fontId="0" fillId="0" borderId="0" xfId="23" applyNumberFormat="1" applyFont="1" applyFill="1" applyBorder="1" applyAlignment="1">
      <alignment horizontal="right"/>
      <protection/>
    </xf>
    <xf numFmtId="173" fontId="0" fillId="0" borderId="0" xfId="23" applyNumberFormat="1" applyFont="1" applyFill="1" applyBorder="1" applyAlignment="1">
      <alignment horizontal="right"/>
      <protection/>
    </xf>
    <xf numFmtId="172" fontId="0" fillId="0" borderId="6" xfId="2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20" fillId="0" borderId="0" xfId="0" applyFont="1" applyFill="1" applyAlignment="1">
      <alignment horizontal="left"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SheetLayoutView="85" workbookViewId="0" topLeftCell="A1">
      <selection activeCell="A1" sqref="A1:G1"/>
    </sheetView>
  </sheetViews>
  <sheetFormatPr defaultColWidth="9.140625" defaultRowHeight="12.75"/>
  <cols>
    <col min="1" max="1" width="41.00390625" style="4" customWidth="1"/>
    <col min="2" max="6" width="8.7109375" style="4" customWidth="1"/>
    <col min="7" max="7" width="10.8515625" style="4" customWidth="1"/>
    <col min="8" max="8" width="8.7109375" style="4" customWidth="1"/>
    <col min="9" max="241" width="8.8515625" style="4" customWidth="1"/>
    <col min="242" max="16384" width="9.140625" style="4" customWidth="1"/>
  </cols>
  <sheetData>
    <row r="1" spans="1:16" ht="17.25" customHeight="1">
      <c r="A1" s="43" t="s">
        <v>22</v>
      </c>
      <c r="B1" s="42"/>
      <c r="C1" s="42"/>
      <c r="D1" s="42"/>
      <c r="E1" s="42"/>
      <c r="F1" s="42"/>
      <c r="G1" s="42"/>
      <c r="H1" s="1"/>
      <c r="I1" s="2"/>
      <c r="J1" s="1"/>
      <c r="K1" s="1"/>
      <c r="L1" s="1"/>
      <c r="M1" s="1"/>
      <c r="N1" s="1"/>
      <c r="O1" s="1"/>
      <c r="P1" s="1"/>
    </row>
    <row r="2" spans="1:16" ht="15.75" thickBot="1">
      <c r="A2" s="18"/>
      <c r="B2" s="3"/>
      <c r="C2" s="3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</row>
    <row r="3" spans="1:49" s="17" customFormat="1" ht="12.75">
      <c r="A3" s="19"/>
      <c r="B3" s="33" t="s">
        <v>6</v>
      </c>
      <c r="C3" s="33" t="s">
        <v>7</v>
      </c>
      <c r="D3" s="34" t="s">
        <v>8</v>
      </c>
      <c r="E3" s="34" t="s">
        <v>9</v>
      </c>
      <c r="F3" s="35">
        <v>2002</v>
      </c>
      <c r="G3" s="35">
        <v>2003</v>
      </c>
      <c r="H3" s="35">
        <v>2004</v>
      </c>
      <c r="I3" s="6"/>
      <c r="J3" s="5"/>
      <c r="K3" s="5"/>
      <c r="L3" s="5"/>
      <c r="M3" s="5"/>
      <c r="N3" s="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14" s="1" customFormat="1" ht="12.75">
      <c r="A4" s="20" t="s">
        <v>0</v>
      </c>
      <c r="B4" s="21"/>
      <c r="C4" s="21"/>
      <c r="D4" s="7"/>
      <c r="E4" s="7"/>
      <c r="F4" s="30"/>
      <c r="G4" s="30"/>
      <c r="H4" s="30"/>
      <c r="I4" s="8"/>
      <c r="J4" s="7"/>
      <c r="K4" s="7"/>
      <c r="L4" s="7"/>
      <c r="M4" s="7"/>
      <c r="N4" s="9"/>
    </row>
    <row r="5" spans="1:14" s="1" customFormat="1" ht="12.75">
      <c r="A5" s="22" t="s">
        <v>16</v>
      </c>
      <c r="B5" s="21">
        <f>3.7854118*114960</f>
        <v>435170.940528</v>
      </c>
      <c r="C5" s="21">
        <f>3.7854118*130755</f>
        <v>494961.51990899997</v>
      </c>
      <c r="D5" s="21">
        <f>3.7854118*162555</f>
        <v>615337.615149</v>
      </c>
      <c r="E5" s="21">
        <f>3.7854118*163478.342</f>
        <v>618832.8448512356</v>
      </c>
      <c r="F5" s="21">
        <f>3.7854118*168682.21</f>
        <v>638531.6281840779</v>
      </c>
      <c r="G5" s="37">
        <f>3.7854118*170069.064</f>
        <v>643781.4416805552</v>
      </c>
      <c r="H5" s="21">
        <f>3.7854118*173749.912</f>
        <v>657714.9671337616</v>
      </c>
      <c r="I5" s="8"/>
      <c r="J5" s="7"/>
      <c r="K5" s="7"/>
      <c r="L5" s="7"/>
      <c r="M5" s="7"/>
      <c r="N5" s="9"/>
    </row>
    <row r="6" spans="1:14" s="1" customFormat="1" ht="12.75">
      <c r="A6" s="23" t="s">
        <v>10</v>
      </c>
      <c r="B6" s="21">
        <f aca="true" t="shared" si="0" ref="B6:H6">SUM(B7:B8)</f>
        <v>75556.81952799999</v>
      </c>
      <c r="C6" s="21">
        <f t="shared" si="0"/>
        <v>92704.734982</v>
      </c>
      <c r="D6" s="21">
        <f t="shared" si="0"/>
        <v>133356.2723022</v>
      </c>
      <c r="E6" s="21">
        <f t="shared" si="0"/>
        <v>133167.3499700856</v>
      </c>
      <c r="F6" s="21">
        <f t="shared" si="0"/>
        <v>139304.0665242438</v>
      </c>
      <c r="G6" s="37">
        <f t="shared" si="0"/>
        <v>123736.56892663578</v>
      </c>
      <c r="H6" s="21">
        <f t="shared" si="0"/>
        <v>128584.65852218139</v>
      </c>
      <c r="I6" s="8"/>
      <c r="J6" s="7"/>
      <c r="K6" s="7"/>
      <c r="L6" s="7"/>
      <c r="M6" s="7"/>
      <c r="N6" s="9"/>
    </row>
    <row r="7" spans="1:49" ht="12.75">
      <c r="A7" s="24" t="s">
        <v>4</v>
      </c>
      <c r="B7" s="21">
        <f>3.7854118*6923</f>
        <v>26206.405891399998</v>
      </c>
      <c r="C7" s="21">
        <f>3.7854118*8357</f>
        <v>31634.6864126</v>
      </c>
      <c r="D7" s="7">
        <f>3.7854118*9563</f>
        <v>36199.8930434</v>
      </c>
      <c r="E7" s="7">
        <f>3.7854118*9667.248</f>
        <v>36594.5146527264</v>
      </c>
      <c r="F7" s="21">
        <f>3.7854118*10320.611</f>
        <v>39067.7626626098</v>
      </c>
      <c r="G7" s="37">
        <f>3.7854118*8880.461</f>
        <v>33616.2018588398</v>
      </c>
      <c r="H7" s="21">
        <f>3.7854118*9263.051</f>
        <v>35064.4625594018</v>
      </c>
      <c r="I7" s="8"/>
      <c r="J7" s="7"/>
      <c r="K7" s="7"/>
      <c r="L7" s="7"/>
      <c r="M7" s="7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24" t="s">
        <v>5</v>
      </c>
      <c r="B8" s="21">
        <f>3.7854118*13037</f>
        <v>49350.4136366</v>
      </c>
      <c r="C8" s="21">
        <f>3.7854118*16133</f>
        <v>61070.0485694</v>
      </c>
      <c r="D8" s="7">
        <f>3.7854118*25666</f>
        <v>97156.37925879999</v>
      </c>
      <c r="E8" s="7">
        <f>3.7854118*25511.844</f>
        <v>96572.8353173592</v>
      </c>
      <c r="F8" s="21">
        <f>3.7854118*26479.63</f>
        <v>100236.303861634</v>
      </c>
      <c r="G8" s="37">
        <f>3.784118*23815.422</f>
        <v>90120.36706779599</v>
      </c>
      <c r="H8" s="21">
        <f>3.7854118*24705.422</f>
        <v>93520.19596277959</v>
      </c>
      <c r="I8" s="8"/>
      <c r="J8" s="7"/>
      <c r="K8" s="7"/>
      <c r="L8" s="7"/>
      <c r="M8" s="7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23" t="s">
        <v>11</v>
      </c>
      <c r="B9" s="25">
        <f aca="true" t="shared" si="1" ref="B9:H9">B6/B5*100</f>
        <v>17.362560890744604</v>
      </c>
      <c r="C9" s="25">
        <f t="shared" si="1"/>
        <v>18.72968528928148</v>
      </c>
      <c r="D9" s="25">
        <f t="shared" si="1"/>
        <v>21.672049460182706</v>
      </c>
      <c r="E9" s="25">
        <f t="shared" si="1"/>
        <v>21.519114746098904</v>
      </c>
      <c r="F9" s="25">
        <f t="shared" si="1"/>
        <v>21.816314239658112</v>
      </c>
      <c r="G9" s="38">
        <f t="shared" si="1"/>
        <v>19.220275844489773</v>
      </c>
      <c r="H9" s="25">
        <f t="shared" si="1"/>
        <v>19.550210189458973</v>
      </c>
      <c r="I9" s="8"/>
      <c r="J9" s="7"/>
      <c r="K9" s="7"/>
      <c r="L9" s="7"/>
      <c r="M9" s="7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20" t="s">
        <v>3</v>
      </c>
      <c r="B10" s="21"/>
      <c r="C10" s="21"/>
      <c r="D10" s="7"/>
      <c r="E10" s="7"/>
      <c r="F10" s="21"/>
      <c r="G10" s="21"/>
      <c r="H10" s="21"/>
      <c r="I10" s="8"/>
      <c r="J10" s="7"/>
      <c r="K10" s="7"/>
      <c r="L10" s="7"/>
      <c r="M10" s="7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26" t="s">
        <v>17</v>
      </c>
      <c r="B11" s="21">
        <f>3.7854118*3904</f>
        <v>14778.2476672</v>
      </c>
      <c r="C11" s="21">
        <f>3.7854118*3115</f>
        <v>11791.557757</v>
      </c>
      <c r="D11" s="7">
        <f>3.7854118*3700</f>
        <v>14006.023659999999</v>
      </c>
      <c r="E11" s="7">
        <f>3.7854118*3710</f>
        <v>14043.877778</v>
      </c>
      <c r="F11" s="21">
        <f>3.7854118*3730</f>
        <v>14119.586014</v>
      </c>
      <c r="G11" s="21">
        <f>3.7854118*3826</f>
        <v>14482.985546799999</v>
      </c>
      <c r="H11" s="21">
        <f>3.7854118*4059</f>
        <v>15364.9864962</v>
      </c>
      <c r="I11" s="8"/>
      <c r="J11" s="7"/>
      <c r="K11" s="7"/>
      <c r="L11" s="7"/>
      <c r="M11" s="7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20" t="s">
        <v>1</v>
      </c>
      <c r="B12" s="21"/>
      <c r="C12" s="21"/>
      <c r="D12" s="7"/>
      <c r="E12" s="7"/>
      <c r="F12" s="21"/>
      <c r="G12" s="21"/>
      <c r="H12" s="21"/>
      <c r="I12" s="8"/>
      <c r="J12" s="7"/>
      <c r="K12" s="7"/>
      <c r="L12" s="7"/>
      <c r="M12" s="7"/>
      <c r="N12" s="9"/>
    </row>
    <row r="13" spans="1:11" s="1" customFormat="1" ht="12.75">
      <c r="A13" s="22" t="s">
        <v>18</v>
      </c>
      <c r="B13" s="21">
        <f>3.7854118*8952</f>
        <v>33887.0064336</v>
      </c>
      <c r="C13" s="21">
        <f>3.7854118*6326</f>
        <v>23946.5150468</v>
      </c>
      <c r="D13" s="7">
        <f>3.7854118*6409.863</f>
        <v>24263.9710365834</v>
      </c>
      <c r="E13" s="7">
        <f>3.7854118*5409</f>
        <v>20475.292426199998</v>
      </c>
      <c r="F13" s="21">
        <f>3.7854118*4847.704</f>
        <v>18350.5559245072</v>
      </c>
      <c r="G13" s="21">
        <f>3.7854118*3874</f>
        <v>14664.6853132</v>
      </c>
      <c r="H13" s="21">
        <f>3.7854118*4690</f>
        <v>17753.581341999998</v>
      </c>
      <c r="I13" s="11"/>
      <c r="J13" s="10"/>
      <c r="K13" s="10"/>
    </row>
    <row r="14" spans="1:49" ht="12.75">
      <c r="A14" s="22" t="s">
        <v>19</v>
      </c>
      <c r="B14" s="21">
        <f>3.785418*1478</f>
        <v>5594.847804</v>
      </c>
      <c r="C14" s="21">
        <f>3.7854118*2065</f>
        <v>7816.875367</v>
      </c>
      <c r="D14" s="7">
        <f>3.7854118*2261</f>
        <v>8558.816079799999</v>
      </c>
      <c r="E14" s="7">
        <f>3.7854118*2044</f>
        <v>7737.3817192</v>
      </c>
      <c r="F14" s="21">
        <f>3.7854118*2078.921</f>
        <v>7869.572084667799</v>
      </c>
      <c r="G14" s="21">
        <f>3.7854118*2217</f>
        <v>8392.2579606</v>
      </c>
      <c r="H14" s="21">
        <f>3.7854118*2140</f>
        <v>8100.781252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2" t="s">
        <v>20</v>
      </c>
      <c r="B15" s="21">
        <f>3.7854118*1052</f>
        <v>3982.2532136</v>
      </c>
      <c r="C15" s="21">
        <f>3.7854118*1300</f>
        <v>4921.035339999999</v>
      </c>
      <c r="D15" s="2">
        <f>3.7854118*1124</f>
        <v>4254.8028632</v>
      </c>
      <c r="E15" s="7">
        <f>3.7854118*994</f>
        <v>3762.6993291999997</v>
      </c>
      <c r="F15" s="21">
        <f>3.7854118*1081.157</f>
        <v>4092.6244654525995</v>
      </c>
      <c r="G15" s="21">
        <f>3.7854118*1107.463</f>
        <v>4192.2035082634</v>
      </c>
      <c r="H15" s="21">
        <f>3.7854118*1005.029</f>
        <v>3804.4486359422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20" t="s">
        <v>2</v>
      </c>
      <c r="B16" s="21"/>
      <c r="C16" s="21"/>
      <c r="D16" s="1"/>
      <c r="E16" s="12"/>
      <c r="F16" s="21"/>
      <c r="G16" s="21"/>
      <c r="H16" s="21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27" t="s">
        <v>21</v>
      </c>
      <c r="B17" s="28">
        <f>634622*0.0283168466</f>
        <v>17970.4938229852</v>
      </c>
      <c r="C17" s="28">
        <f>659816*0.0283168466</f>
        <v>18683.9084562256</v>
      </c>
      <c r="D17" s="29">
        <f>642210*0.0283168466</f>
        <v>18185.362054986</v>
      </c>
      <c r="E17" s="29">
        <f>624964*0.0283168466</f>
        <v>17697.0097185224</v>
      </c>
      <c r="F17" s="28">
        <f>666920*0.0283168466</f>
        <v>18885.071334472</v>
      </c>
      <c r="G17" s="39">
        <f>591492*0.0283168466</f>
        <v>16749.1882291272</v>
      </c>
      <c r="H17" s="28">
        <f>571853*0.0283168466</f>
        <v>16193.0736787498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44" t="s">
        <v>12</v>
      </c>
      <c r="B18" s="45"/>
      <c r="C18" s="45"/>
      <c r="D18" s="45"/>
      <c r="E18" s="45"/>
      <c r="F18" s="45"/>
      <c r="G18" s="45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36"/>
      <c r="B19" s="40"/>
      <c r="C19" s="40"/>
      <c r="D19" s="40"/>
      <c r="E19" s="40"/>
      <c r="F19" s="40"/>
      <c r="G19" s="40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 customHeight="1">
      <c r="A20" s="46" t="s">
        <v>24</v>
      </c>
      <c r="B20" s="46"/>
      <c r="C20" s="46"/>
      <c r="D20" s="46"/>
      <c r="E20" s="46"/>
      <c r="F20" s="46"/>
      <c r="G20" s="46"/>
      <c r="H20" s="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15" customFormat="1" ht="13.5" customHeight="1">
      <c r="A21" s="31"/>
      <c r="B21" s="32"/>
      <c r="C21" s="32"/>
      <c r="D21" s="13"/>
      <c r="E21" s="13"/>
      <c r="F21" s="13"/>
      <c r="G21" s="13"/>
      <c r="H21" s="13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7" ht="25.5" customHeight="1">
      <c r="A22" s="41" t="s">
        <v>15</v>
      </c>
      <c r="B22" s="42"/>
      <c r="C22" s="42"/>
      <c r="D22" s="42"/>
      <c r="E22" s="42"/>
      <c r="F22" s="42"/>
      <c r="G22" s="42"/>
    </row>
    <row r="23" spans="1:7" ht="12.75" customHeight="1">
      <c r="A23" s="41" t="s">
        <v>13</v>
      </c>
      <c r="B23" s="42"/>
      <c r="C23" s="42"/>
      <c r="D23" s="42"/>
      <c r="E23" s="42"/>
      <c r="F23" s="42"/>
      <c r="G23" s="42"/>
    </row>
    <row r="24" spans="1:7" ht="25.5" customHeight="1">
      <c r="A24" s="41" t="s">
        <v>23</v>
      </c>
      <c r="B24" s="42"/>
      <c r="C24" s="42"/>
      <c r="D24" s="42"/>
      <c r="E24" s="42"/>
      <c r="F24" s="42"/>
      <c r="G24" s="42"/>
    </row>
    <row r="25" spans="1:7" ht="25.5" customHeight="1">
      <c r="A25" s="41" t="s">
        <v>14</v>
      </c>
      <c r="B25" s="42"/>
      <c r="C25" s="42"/>
      <c r="D25" s="42"/>
      <c r="E25" s="42"/>
      <c r="F25" s="42"/>
      <c r="G25" s="42"/>
    </row>
  </sheetData>
  <mergeCells count="7">
    <mergeCell ref="A24:G24"/>
    <mergeCell ref="A25:G25"/>
    <mergeCell ref="A1:G1"/>
    <mergeCell ref="A18:G18"/>
    <mergeCell ref="A22:G22"/>
    <mergeCell ref="A23:G23"/>
    <mergeCell ref="A20:G20"/>
  </mergeCells>
  <printOptions horizontalCentered="1"/>
  <pageMargins left="1" right="1" top="1" bottom="1" header="0.25" footer="0.25"/>
  <pageSetup fitToHeight="0" fitToWidth="1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2006-05-17T20:11:52Z</cp:lastPrinted>
  <dcterms:created xsi:type="dcterms:W3CDTF">1999-07-27T00:49:59Z</dcterms:created>
  <dcterms:modified xsi:type="dcterms:W3CDTF">2006-11-07T19:29:07Z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