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1230" windowWidth="12120" windowHeight="7050" activeTab="0"/>
  </bookViews>
  <sheets>
    <sheet name="Table 5-7M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'Table 5-7M'!$A$1:$I$27</definedName>
    <definedName name="Sum_T2">'[1]1997  Table 1a Modified'!#REF!</definedName>
    <definedName name="Sum_TTM">'[1]1997  Table 1a Modified'!#REF!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<sst xmlns="http://schemas.openxmlformats.org/spreadsheetml/2006/main" count="26" uniqueCount="26">
  <si>
    <t>Highway</t>
  </si>
  <si>
    <t xml:space="preserve">Water </t>
  </si>
  <si>
    <t>Pipeline</t>
  </si>
  <si>
    <t>Rail, Class I (in freight service)</t>
  </si>
  <si>
    <t>Single-unit 2-axle 6-tire or more truck</t>
  </si>
  <si>
    <t>Combination truck</t>
  </si>
  <si>
    <t>1980</t>
  </si>
  <si>
    <t>1990</t>
  </si>
  <si>
    <t>2000</t>
  </si>
  <si>
    <t>2001</t>
  </si>
  <si>
    <t>Truck, total</t>
  </si>
  <si>
    <t>Truck (percent of total)</t>
  </si>
  <si>
    <r>
      <t>Key:</t>
    </r>
    <r>
      <rPr>
        <sz val="9"/>
        <rFont val="Arial"/>
        <family val="2"/>
      </rPr>
      <t xml:space="preserve">  R = revised.</t>
    </r>
  </si>
  <si>
    <t>Gasoline, diesel and other fuels (million liters)</t>
  </si>
  <si>
    <t>Distillate / diesel fuel (million liters)</t>
  </si>
  <si>
    <t>Residual fuel oil (million liters)</t>
  </si>
  <si>
    <t>Distillate / diesel fuel oil (million liters)</t>
  </si>
  <si>
    <t>Gasoline (million liters)</t>
  </si>
  <si>
    <t>Natural gas (million cubic meters)</t>
  </si>
  <si>
    <r>
      <t>Note:</t>
    </r>
    <r>
      <rPr>
        <sz val="9"/>
        <rFont val="Arial"/>
        <family val="2"/>
      </rPr>
      <t xml:space="preserve"> 1 gallon = 3.8 liters; 1 cubic foot = 0.03 cubic meters.</t>
    </r>
  </si>
  <si>
    <r>
      <t xml:space="preserve">Water: </t>
    </r>
    <r>
      <rPr>
        <sz val="9"/>
        <rFont val="Arial"/>
        <family val="2"/>
      </rPr>
      <t xml:space="preserve"> U.S. Department of Energy, Energy Information Administration, </t>
    </r>
    <r>
      <rPr>
        <i/>
        <sz val="9"/>
        <rFont val="Arial"/>
        <family val="2"/>
      </rPr>
      <t>Fuel Oil and Kerosene Sales 2005</t>
    </r>
    <r>
      <rPr>
        <sz val="9"/>
        <rFont val="Arial"/>
        <family val="2"/>
      </rPr>
      <t xml:space="preserve"> (Washington, DC:  2005), tables 2, 4, and similar tables in earlier editions.</t>
    </r>
  </si>
  <si>
    <r>
      <t>Pipeline</t>
    </r>
    <r>
      <rPr>
        <sz val="9"/>
        <rFont val="Arial"/>
        <family val="2"/>
      </rPr>
      <t xml:space="preserve">: U.S. Department of Energy, </t>
    </r>
    <r>
      <rPr>
        <i/>
        <sz val="9"/>
        <rFont val="Arial"/>
        <family val="2"/>
      </rPr>
      <t>Natural Gas Annual 2005</t>
    </r>
    <r>
      <rPr>
        <sz val="9"/>
        <rFont val="Arial"/>
        <family val="2"/>
      </rPr>
      <t>, DOE/EIA-0131(04) (Washington, DC: December 2005), table 15 and similar tables in earlier editions.</t>
    </r>
  </si>
  <si>
    <r>
      <t>Rail</t>
    </r>
    <r>
      <rPr>
        <sz val="9"/>
        <rFont val="Arial"/>
        <family val="2"/>
      </rPr>
      <t>: Association of American Railroads,</t>
    </r>
    <r>
      <rPr>
        <i/>
        <sz val="9"/>
        <rFont val="Arial"/>
        <family val="2"/>
      </rPr>
      <t xml:space="preserve"> Railroad Facts</t>
    </r>
    <r>
      <rPr>
        <sz val="9"/>
        <rFont val="Arial"/>
        <family val="2"/>
      </rPr>
      <t xml:space="preserve"> (Washington, DC: Annual Issues), p. 40.</t>
    </r>
  </si>
  <si>
    <t xml:space="preserve">Sources: </t>
  </si>
  <si>
    <r>
      <t>Highway</t>
    </r>
    <r>
      <rPr>
        <sz val="9"/>
        <rFont val="Arial"/>
        <family val="2"/>
      </rPr>
      <t xml:space="preserve">:  U.S. Department of Transportation, Federal Highway Administration, </t>
    </r>
    <r>
      <rPr>
        <i/>
        <sz val="9"/>
        <rFont val="Arial"/>
        <family val="2"/>
      </rPr>
      <t>Highway Statistics 2005</t>
    </r>
    <r>
      <rPr>
        <sz val="9"/>
        <rFont val="Arial"/>
        <family val="2"/>
      </rPr>
      <t xml:space="preserve"> (Washington, DC: 2005), table VM-1 and similar tables in earlier editions.</t>
    </r>
  </si>
  <si>
    <t>Table 5-7M.  Fuel Consumption by Transportation Mode: 1980-2005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</si>
</sst>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_(* #,##0.0_);_(* \(#,##0.0\);_(* &quot;-&quot;??_);_(@_)"/>
    <numFmt numFmtId="167" formatCode="0.0_W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"/>
    <numFmt numFmtId="172" formatCode="&quot;(R)&quot;\ #,##0;&quot;(R) -&quot;#,##0;&quot;(R) &quot;\ 0"/>
    <numFmt numFmtId="173" formatCode="&quot;(R)&quot;\ #,##0.0;&quot;(R) -&quot;#,##0.0;&quot;(R) &quot;\ 0.0"/>
    <numFmt numFmtId="174" formatCode="[$€-2]\ #,##0.00_);[Red]\([$€-2]\ #,##0.00\)"/>
    <numFmt numFmtId="175" formatCode="&quot;(R) &quot;#,##0;&quot;(R) &quot;\-#,##0;&quot;(R) &quot;0"/>
    <numFmt numFmtId="176" formatCode="&quot;(R) &quot;#,##0.0;&quot;(R) &quot;\-#,##0.0;&quot;(R) &quot;0.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8"/>
      <name val="Helv"/>
      <family val="0"/>
    </font>
    <font>
      <vertAlign val="superscript"/>
      <sz val="8"/>
      <name val="Helv"/>
      <family val="0"/>
    </font>
    <font>
      <b/>
      <sz val="14"/>
      <name val="Helv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6" fillId="0" borderId="1" applyAlignment="0">
      <protection/>
    </xf>
    <xf numFmtId="165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4" fontId="8" fillId="0" borderId="1" applyNumberFormat="0" applyFill="0">
      <alignment horizontal="right"/>
      <protection/>
    </xf>
    <xf numFmtId="165" fontId="6" fillId="0" borderId="1">
      <alignment horizontal="right" vertical="center"/>
      <protection/>
    </xf>
    <xf numFmtId="167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9" fillId="0" borderId="1">
      <alignment horizontal="left" vertical="center"/>
      <protection/>
    </xf>
    <xf numFmtId="0" fontId="14" fillId="0" borderId="1">
      <alignment horizontal="left"/>
      <protection/>
    </xf>
    <xf numFmtId="0" fontId="15" fillId="0" borderId="1">
      <alignment horizontal="left" vertical="center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49" fontId="16" fillId="0" borderId="1" applyFill="0">
      <alignment horizontal="left"/>
      <protection/>
    </xf>
    <xf numFmtId="164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7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7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4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41" applyFont="1" applyFill="1" applyBorder="1" applyAlignment="1">
      <alignment horizontal="center" wrapText="1"/>
      <protection/>
    </xf>
    <xf numFmtId="3" fontId="0" fillId="0" borderId="0" xfId="27" applyNumberFormat="1" applyFont="1" applyFill="1" applyBorder="1" applyAlignment="1">
      <alignment horizontal="right"/>
      <protection/>
    </xf>
    <xf numFmtId="3" fontId="0" fillId="0" borderId="0" xfId="56" applyNumberFormat="1" applyFont="1" applyFill="1" applyBorder="1" applyAlignment="1">
      <alignment horizontal="right"/>
      <protection/>
    </xf>
    <xf numFmtId="165" fontId="0" fillId="0" borderId="0" xfId="27" applyFont="1" applyFill="1" applyBorder="1" applyAlignment="1">
      <alignment horizontal="right"/>
      <protection/>
    </xf>
    <xf numFmtId="3" fontId="18" fillId="0" borderId="0" xfId="27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1" fillId="0" borderId="6" xfId="65" applyFont="1" applyFill="1" applyBorder="1" applyAlignment="1">
      <alignment horizontal="left"/>
      <protection/>
    </xf>
    <xf numFmtId="0" fontId="1" fillId="0" borderId="3" xfId="41" applyFont="1" applyFill="1" applyBorder="1" applyAlignment="1">
      <alignment horizontal="center" wrapText="1"/>
      <protection/>
    </xf>
    <xf numFmtId="0" fontId="1" fillId="0" borderId="0" xfId="40" applyFont="1" applyFill="1" applyBorder="1" applyAlignment="1">
      <alignment horizontal="left"/>
      <protection/>
    </xf>
    <xf numFmtId="3" fontId="0" fillId="0" borderId="0" xfId="23" applyNumberFormat="1" applyFont="1" applyFill="1" applyBorder="1" applyAlignment="1">
      <alignment horizontal="right"/>
      <protection/>
    </xf>
    <xf numFmtId="0" fontId="0" fillId="0" borderId="0" xfId="38" applyFont="1" applyFill="1" applyBorder="1" applyAlignment="1">
      <alignment horizontal="left"/>
      <protection/>
    </xf>
    <xf numFmtId="0" fontId="0" fillId="0" borderId="0" xfId="38" applyFont="1" applyFill="1" applyBorder="1" applyAlignment="1">
      <alignment horizontal="left" indent="1"/>
      <protection/>
    </xf>
    <xf numFmtId="0" fontId="0" fillId="0" borderId="0" xfId="38" applyFont="1" applyFill="1" applyBorder="1" applyAlignment="1">
      <alignment horizontal="left" indent="2"/>
      <protection/>
    </xf>
    <xf numFmtId="171" fontId="0" fillId="0" borderId="0" xfId="23" applyNumberFormat="1" applyFont="1" applyFill="1" applyBorder="1" applyAlignment="1">
      <alignment horizontal="right"/>
      <protection/>
    </xf>
    <xf numFmtId="0" fontId="0" fillId="0" borderId="0" xfId="40" applyFont="1" applyFill="1" applyBorder="1" applyAlignment="1">
      <alignment horizontal="left"/>
      <protection/>
    </xf>
    <xf numFmtId="0" fontId="0" fillId="0" borderId="6" xfId="40" applyFont="1" applyFill="1" applyBorder="1" applyAlignment="1">
      <alignment horizontal="left"/>
      <protection/>
    </xf>
    <xf numFmtId="3" fontId="0" fillId="0" borderId="6" xfId="23" applyNumberFormat="1" applyFont="1" applyFill="1" applyBorder="1" applyAlignment="1">
      <alignment horizontal="right"/>
      <protection/>
    </xf>
    <xf numFmtId="3" fontId="0" fillId="0" borderId="6" xfId="0" applyNumberFormat="1" applyFont="1" applyFill="1" applyBorder="1" applyAlignment="1">
      <alignment horizontal="right"/>
    </xf>
    <xf numFmtId="3" fontId="19" fillId="0" borderId="0" xfId="23" applyNumberFormat="1" applyFont="1" applyFill="1" applyBorder="1" applyAlignment="1">
      <alignment horizontal="right"/>
      <protection/>
    </xf>
    <xf numFmtId="0" fontId="20" fillId="0" borderId="0" xfId="51" applyFont="1" applyFill="1" applyAlignment="1">
      <alignment horizontal="left" wrapText="1"/>
      <protection/>
    </xf>
    <xf numFmtId="0" fontId="0" fillId="0" borderId="0" xfId="0" applyFont="1" applyFill="1" applyAlignment="1">
      <alignment horizontal="left" wrapText="1"/>
    </xf>
    <xf numFmtId="49" fontId="1" fillId="0" borderId="3" xfId="41" applyNumberFormat="1" applyFont="1" applyFill="1" applyBorder="1" applyAlignment="1">
      <alignment horizontal="right"/>
      <protection/>
    </xf>
    <xf numFmtId="49" fontId="1" fillId="0" borderId="7" xfId="41" applyNumberFormat="1" applyFont="1" applyFill="1" applyBorder="1" applyAlignment="1">
      <alignment horizontal="right"/>
      <protection/>
    </xf>
    <xf numFmtId="0" fontId="1" fillId="0" borderId="7" xfId="41" applyFont="1" applyFill="1" applyBorder="1" applyAlignment="1">
      <alignment horizontal="right" wrapText="1"/>
      <protection/>
    </xf>
    <xf numFmtId="0" fontId="20" fillId="0" borderId="0" xfId="40" applyFont="1" applyFill="1" applyBorder="1" applyAlignment="1">
      <alignment wrapText="1"/>
      <protection/>
    </xf>
    <xf numFmtId="0" fontId="0" fillId="0" borderId="0" xfId="0" applyFill="1" applyBorder="1" applyAlignment="1">
      <alignment wrapText="1"/>
    </xf>
    <xf numFmtId="0" fontId="1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0" fillId="0" borderId="8" xfId="40" applyFont="1" applyFill="1" applyBorder="1" applyAlignment="1">
      <alignment wrapText="1"/>
      <protection/>
    </xf>
    <xf numFmtId="0" fontId="0" fillId="0" borderId="8" xfId="0" applyFill="1" applyBorder="1" applyAlignment="1">
      <alignment wrapText="1"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 horizontal="left" wrapText="1"/>
    </xf>
    <xf numFmtId="175" fontId="0" fillId="0" borderId="0" xfId="23" applyNumberFormat="1" applyFont="1" applyFill="1" applyBorder="1" applyAlignment="1">
      <alignment horizontal="right"/>
      <protection/>
    </xf>
    <xf numFmtId="176" fontId="0" fillId="0" borderId="0" xfId="23" applyNumberFormat="1" applyFont="1" applyFill="1" applyBorder="1" applyAlignment="1">
      <alignment horizontal="right"/>
      <protection/>
    </xf>
    <xf numFmtId="175" fontId="0" fillId="0" borderId="6" xfId="23" applyNumberFormat="1" applyFont="1" applyFill="1" applyBorder="1" applyAlignment="1">
      <alignment horizontal="right"/>
      <protection/>
    </xf>
  </cellXfs>
  <cellStyles count="58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_Regular" xfId="27"/>
    <cellStyle name="Data-one deci" xfId="28"/>
    <cellStyle name="Date" xfId="29"/>
    <cellStyle name="Fixed" xfId="30"/>
    <cellStyle name="Followed Hyperlink" xfId="31"/>
    <cellStyle name="Heading 1" xfId="32"/>
    <cellStyle name="Heading 2" xfId="33"/>
    <cellStyle name="Hed Side" xfId="34"/>
    <cellStyle name="Hed Side bold" xfId="35"/>
    <cellStyle name="Hed Side Indent" xfId="36"/>
    <cellStyle name="Hed Side Regular" xfId="37"/>
    <cellStyle name="Hed Side Regular_Regular" xfId="38"/>
    <cellStyle name="Hed Side_1-1A-Regular" xfId="39"/>
    <cellStyle name="Hed Side_Regular_1" xfId="40"/>
    <cellStyle name="Hed Top" xfId="41"/>
    <cellStyle name="Hed Top - SECTION" xfId="42"/>
    <cellStyle name="Hed Top_3-new4" xfId="43"/>
    <cellStyle name="Hyperlink" xfId="44"/>
    <cellStyle name="Percent" xfId="45"/>
    <cellStyle name="Reference" xfId="46"/>
    <cellStyle name="Row heading" xfId="47"/>
    <cellStyle name="Source Hed" xfId="48"/>
    <cellStyle name="Source Letter" xfId="49"/>
    <cellStyle name="Source Superscript" xfId="50"/>
    <cellStyle name="Source Text" xfId="51"/>
    <cellStyle name="State" xfId="52"/>
    <cellStyle name="Superscript" xfId="53"/>
    <cellStyle name="Superscript- regular" xfId="54"/>
    <cellStyle name="Superscript_1-1A-Regular" xfId="55"/>
    <cellStyle name="Superscript_Regular_1" xfId="56"/>
    <cellStyle name="Table Data" xfId="57"/>
    <cellStyle name="Table Head Top" xfId="58"/>
    <cellStyle name="Table Hed Side" xfId="59"/>
    <cellStyle name="Table Title" xfId="60"/>
    <cellStyle name="Title Text" xfId="61"/>
    <cellStyle name="Title Text 1" xfId="62"/>
    <cellStyle name="Title Text 2" xfId="63"/>
    <cellStyle name="Title-1" xfId="64"/>
    <cellStyle name="Title-2" xfId="65"/>
    <cellStyle name="Title-3" xfId="66"/>
    <cellStyle name="Total" xfId="67"/>
    <cellStyle name="Wrap" xfId="68"/>
    <cellStyle name="Wrap Bold" xfId="69"/>
    <cellStyle name="Wrap Title" xfId="70"/>
    <cellStyle name="Wrap_NTS99-~1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7"/>
  <sheetViews>
    <sheetView tabSelected="1" zoomScaleSheetLayoutView="85" workbookViewId="0" topLeftCell="A1">
      <selection activeCell="A1" sqref="A1:IV16384"/>
    </sheetView>
  </sheetViews>
  <sheetFormatPr defaultColWidth="9.140625" defaultRowHeight="12.75"/>
  <cols>
    <col min="1" max="1" width="41.00390625" style="4" customWidth="1"/>
    <col min="2" max="6" width="8.7109375" style="4" customWidth="1"/>
    <col min="7" max="7" width="10.8515625" style="4" customWidth="1"/>
    <col min="8" max="8" width="10.421875" style="4" customWidth="1"/>
    <col min="9" max="9" width="9.140625" style="4" customWidth="1"/>
    <col min="10" max="241" width="8.8515625" style="4" customWidth="1"/>
    <col min="242" max="16384" width="9.140625" style="4" customWidth="1"/>
  </cols>
  <sheetData>
    <row r="1" spans="1:16" ht="17.25" customHeight="1">
      <c r="A1" s="36" t="s">
        <v>25</v>
      </c>
      <c r="B1" s="37"/>
      <c r="C1" s="37"/>
      <c r="D1" s="37"/>
      <c r="E1" s="37"/>
      <c r="F1" s="37"/>
      <c r="G1" s="37"/>
      <c r="H1" s="1"/>
      <c r="I1" s="2"/>
      <c r="J1" s="1"/>
      <c r="K1" s="1"/>
      <c r="L1" s="1"/>
      <c r="M1" s="1"/>
      <c r="N1" s="1"/>
      <c r="O1" s="1"/>
      <c r="P1" s="1"/>
    </row>
    <row r="2" spans="1:16" ht="16.5" thickBot="1">
      <c r="A2" s="16"/>
      <c r="B2" s="3"/>
      <c r="C2" s="3"/>
      <c r="D2" s="1"/>
      <c r="E2" s="1"/>
      <c r="F2" s="1"/>
      <c r="G2" s="1"/>
      <c r="H2" s="1"/>
      <c r="I2" s="2"/>
      <c r="J2" s="1"/>
      <c r="K2" s="1"/>
      <c r="L2" s="1"/>
      <c r="M2" s="1"/>
      <c r="N2" s="1"/>
      <c r="O2" s="1"/>
      <c r="P2" s="1"/>
    </row>
    <row r="3" spans="1:49" s="15" customFormat="1" ht="12.75">
      <c r="A3" s="17"/>
      <c r="B3" s="31" t="s">
        <v>6</v>
      </c>
      <c r="C3" s="31" t="s">
        <v>7</v>
      </c>
      <c r="D3" s="32" t="s">
        <v>8</v>
      </c>
      <c r="E3" s="32" t="s">
        <v>9</v>
      </c>
      <c r="F3" s="33">
        <v>2002</v>
      </c>
      <c r="G3" s="33">
        <v>2003</v>
      </c>
      <c r="H3" s="33">
        <v>2004</v>
      </c>
      <c r="I3" s="33">
        <v>2005</v>
      </c>
      <c r="J3" s="5"/>
      <c r="K3" s="5"/>
      <c r="L3" s="5"/>
      <c r="M3" s="5"/>
      <c r="N3" s="5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</row>
    <row r="4" spans="1:14" s="1" customFormat="1" ht="12.75">
      <c r="A4" s="18" t="s">
        <v>0</v>
      </c>
      <c r="B4" s="19"/>
      <c r="C4" s="19"/>
      <c r="D4" s="6"/>
      <c r="E4" s="6"/>
      <c r="F4" s="28"/>
      <c r="G4" s="28"/>
      <c r="H4" s="28"/>
      <c r="I4" s="7"/>
      <c r="J4" s="6"/>
      <c r="K4" s="6"/>
      <c r="L4" s="6"/>
      <c r="M4" s="6"/>
      <c r="N4" s="8"/>
    </row>
    <row r="5" spans="1:14" s="1" customFormat="1" ht="12.75">
      <c r="A5" s="20" t="s">
        <v>13</v>
      </c>
      <c r="B5" s="19">
        <f>3.7854118*114960</f>
        <v>435170.940528</v>
      </c>
      <c r="C5" s="19">
        <f>3.7854118*130755</f>
        <v>494961.51990899997</v>
      </c>
      <c r="D5" s="19">
        <f>3.7854118*162555</f>
        <v>615337.615149</v>
      </c>
      <c r="E5" s="19">
        <f>3.7854118*163478.342</f>
        <v>618832.8448512356</v>
      </c>
      <c r="F5" s="19">
        <f>3.7854118*168682.21</f>
        <v>638531.6281840779</v>
      </c>
      <c r="G5" s="19">
        <f>3.7854118*170069.064</f>
        <v>643781.4416805552</v>
      </c>
      <c r="H5" s="42">
        <f>3.7854118*173531.19</f>
        <v>656887.014294042</v>
      </c>
      <c r="I5" s="7">
        <f>3.7854118*174286.984</f>
        <v>659748.0058200111</v>
      </c>
      <c r="J5" s="6"/>
      <c r="K5" s="6"/>
      <c r="L5" s="6"/>
      <c r="M5" s="6"/>
      <c r="N5" s="8"/>
    </row>
    <row r="6" spans="1:14" s="1" customFormat="1" ht="12.75">
      <c r="A6" s="21" t="s">
        <v>10</v>
      </c>
      <c r="B6" s="19">
        <f aca="true" t="shared" si="0" ref="B6:I6">SUM(B7:B8)</f>
        <v>75556.81952799999</v>
      </c>
      <c r="C6" s="19">
        <f t="shared" si="0"/>
        <v>92704.734982</v>
      </c>
      <c r="D6" s="19">
        <f t="shared" si="0"/>
        <v>133356.2723022</v>
      </c>
      <c r="E6" s="19">
        <f t="shared" si="0"/>
        <v>133167.3499700856</v>
      </c>
      <c r="F6" s="19">
        <f t="shared" si="0"/>
        <v>139304.0665242438</v>
      </c>
      <c r="G6" s="19">
        <f t="shared" si="0"/>
        <v>123736.56892663578</v>
      </c>
      <c r="H6" s="42">
        <f t="shared" si="0"/>
        <v>125484.6068848068</v>
      </c>
      <c r="I6" s="19">
        <f t="shared" si="0"/>
        <v>126632.60493598098</v>
      </c>
      <c r="J6" s="6"/>
      <c r="K6" s="6"/>
      <c r="L6" s="6"/>
      <c r="M6" s="6"/>
      <c r="N6" s="8"/>
    </row>
    <row r="7" spans="1:49" ht="12.75">
      <c r="A7" s="22" t="s">
        <v>4</v>
      </c>
      <c r="B7" s="19">
        <f>3.7854118*6923</f>
        <v>26206.405891399998</v>
      </c>
      <c r="C7" s="19">
        <f>3.7854118*8357</f>
        <v>31634.6864126</v>
      </c>
      <c r="D7" s="6">
        <f>3.7854118*9563</f>
        <v>36199.8930434</v>
      </c>
      <c r="E7" s="6">
        <f>3.7854118*9667.248</f>
        <v>36594.5146527264</v>
      </c>
      <c r="F7" s="19">
        <f>3.7854118*10320.611</f>
        <v>39067.7626626098</v>
      </c>
      <c r="G7" s="19">
        <f>3.7854118*8880.461</f>
        <v>33616.2018588398</v>
      </c>
      <c r="H7" s="42">
        <f>3.7854118*8958.622</f>
        <v>33912.073430539596</v>
      </c>
      <c r="I7" s="19">
        <f>3.7854118*9042.283</f>
        <v>34228.76476713939</v>
      </c>
      <c r="J7" s="6"/>
      <c r="K7" s="6"/>
      <c r="L7" s="6"/>
      <c r="M7" s="6"/>
      <c r="N7" s="8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2.75">
      <c r="A8" s="22" t="s">
        <v>5</v>
      </c>
      <c r="B8" s="19">
        <f>3.7854118*13037</f>
        <v>49350.4136366</v>
      </c>
      <c r="C8" s="19">
        <f>3.7854118*16133</f>
        <v>61070.0485694</v>
      </c>
      <c r="D8" s="6">
        <f>3.7854118*25666</f>
        <v>97156.37925879999</v>
      </c>
      <c r="E8" s="6">
        <f>3.7854118*25511.844</f>
        <v>96572.8353173592</v>
      </c>
      <c r="F8" s="19">
        <f>3.7854118*26479.63</f>
        <v>100236.303861634</v>
      </c>
      <c r="G8" s="19">
        <f>3.784118*23815.422</f>
        <v>90120.36706779599</v>
      </c>
      <c r="H8" s="42">
        <f>3.7854118*24190.904</f>
        <v>91572.53345426719</v>
      </c>
      <c r="I8" s="19">
        <f>3.7854118*24410.512</f>
        <v>92403.84016884159</v>
      </c>
      <c r="J8" s="6"/>
      <c r="K8" s="6"/>
      <c r="L8" s="6"/>
      <c r="M8" s="6"/>
      <c r="N8" s="8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2.75">
      <c r="A9" s="21" t="s">
        <v>11</v>
      </c>
      <c r="B9" s="23">
        <f aca="true" t="shared" si="1" ref="B9:I9">B6/B5*100</f>
        <v>17.362560890744604</v>
      </c>
      <c r="C9" s="23">
        <f t="shared" si="1"/>
        <v>18.72968528928148</v>
      </c>
      <c r="D9" s="23">
        <f t="shared" si="1"/>
        <v>21.672049460182706</v>
      </c>
      <c r="E9" s="23">
        <f t="shared" si="1"/>
        <v>21.519114746098904</v>
      </c>
      <c r="F9" s="23">
        <f t="shared" si="1"/>
        <v>21.816314239658112</v>
      </c>
      <c r="G9" s="23">
        <f t="shared" si="1"/>
        <v>19.220275844489773</v>
      </c>
      <c r="H9" s="43">
        <f t="shared" si="1"/>
        <v>19.1029209215934</v>
      </c>
      <c r="I9" s="23">
        <f t="shared" si="1"/>
        <v>19.194086805702025</v>
      </c>
      <c r="J9" s="6"/>
      <c r="K9" s="6"/>
      <c r="L9" s="6"/>
      <c r="M9" s="6"/>
      <c r="N9" s="8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2.75">
      <c r="A10" s="18" t="s">
        <v>3</v>
      </c>
      <c r="B10" s="19"/>
      <c r="C10" s="19"/>
      <c r="D10" s="6"/>
      <c r="E10" s="6"/>
      <c r="F10" s="19"/>
      <c r="G10" s="19"/>
      <c r="H10" s="19"/>
      <c r="I10" s="7"/>
      <c r="J10" s="6"/>
      <c r="K10" s="6"/>
      <c r="L10" s="6"/>
      <c r="M10" s="6"/>
      <c r="N10" s="8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2.75">
      <c r="A11" s="24" t="s">
        <v>14</v>
      </c>
      <c r="B11" s="19">
        <f>3.7854118*3904</f>
        <v>14778.2476672</v>
      </c>
      <c r="C11" s="19">
        <f>3.7854118*3115</f>
        <v>11791.557757</v>
      </c>
      <c r="D11" s="6">
        <f>3.7854118*3700</f>
        <v>14006.023659999999</v>
      </c>
      <c r="E11" s="6">
        <f>3.7854118*3710</f>
        <v>14043.877778</v>
      </c>
      <c r="F11" s="19">
        <f>3.7854118*3730</f>
        <v>14119.586014</v>
      </c>
      <c r="G11" s="19">
        <f>3.7854118*3826</f>
        <v>14482.985546799999</v>
      </c>
      <c r="H11" s="19">
        <f>3.7854118*4059</f>
        <v>15364.9864962</v>
      </c>
      <c r="I11" s="19">
        <f>3.7854118*4098</f>
        <v>15512.617556399999</v>
      </c>
      <c r="J11" s="6"/>
      <c r="K11" s="6"/>
      <c r="L11" s="6"/>
      <c r="M11" s="6"/>
      <c r="N11" s="8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14" s="1" customFormat="1" ht="12.75">
      <c r="A12" s="18" t="s">
        <v>1</v>
      </c>
      <c r="B12" s="19"/>
      <c r="C12" s="19"/>
      <c r="D12" s="6"/>
      <c r="E12" s="6"/>
      <c r="F12" s="19"/>
      <c r="G12" s="19"/>
      <c r="H12" s="19"/>
      <c r="I12" s="7"/>
      <c r="J12" s="6"/>
      <c r="K12" s="6"/>
      <c r="L12" s="6"/>
      <c r="M12" s="6"/>
      <c r="N12" s="8"/>
    </row>
    <row r="13" spans="1:11" s="1" customFormat="1" ht="12.75">
      <c r="A13" s="20" t="s">
        <v>15</v>
      </c>
      <c r="B13" s="19">
        <f>3.7854118*8952</f>
        <v>33887.0064336</v>
      </c>
      <c r="C13" s="19">
        <f>3.7854118*6326</f>
        <v>23946.5150468</v>
      </c>
      <c r="D13" s="6">
        <f>3.7854118*6409.863</f>
        <v>24263.9710365834</v>
      </c>
      <c r="E13" s="6">
        <f>3.7854118*5409</f>
        <v>20475.292426199998</v>
      </c>
      <c r="F13" s="19">
        <f>3.7854118*4847.704</f>
        <v>18350.5559245072</v>
      </c>
      <c r="G13" s="19">
        <f>3.7854118*3874</f>
        <v>14664.6853132</v>
      </c>
      <c r="H13" s="19">
        <f>3.7854118*4690</f>
        <v>17753.581341999998</v>
      </c>
      <c r="I13" s="19">
        <f>3.7854118*5179</f>
        <v>19604.6477122</v>
      </c>
      <c r="J13" s="9"/>
      <c r="K13" s="9"/>
    </row>
    <row r="14" spans="1:49" ht="12.75">
      <c r="A14" s="20" t="s">
        <v>16</v>
      </c>
      <c r="B14" s="19">
        <f>3.785418*1478</f>
        <v>5594.847804</v>
      </c>
      <c r="C14" s="19">
        <f>3.7854118*2065</f>
        <v>7816.875367</v>
      </c>
      <c r="D14" s="6">
        <f>3.7854118*2261</f>
        <v>8558.816079799999</v>
      </c>
      <c r="E14" s="6">
        <f>3.7854118*2044</f>
        <v>7737.3817192</v>
      </c>
      <c r="F14" s="19">
        <f>3.7854118*2078.921</f>
        <v>7869.572084667799</v>
      </c>
      <c r="G14" s="19">
        <f>3.7854118*2217</f>
        <v>8392.2579606</v>
      </c>
      <c r="H14" s="19">
        <f>3.7854118*2140</f>
        <v>8100.781252</v>
      </c>
      <c r="I14" s="19">
        <f>3.7854118*2006</f>
        <v>7593.5360708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2.75">
      <c r="A15" s="20" t="s">
        <v>17</v>
      </c>
      <c r="B15" s="19">
        <f>3.7854118*1052</f>
        <v>3982.2532136</v>
      </c>
      <c r="C15" s="19">
        <f>3.7854118*1300</f>
        <v>4921.035339999999</v>
      </c>
      <c r="D15" s="2">
        <f>3.7854118*1124</f>
        <v>4254.8028632</v>
      </c>
      <c r="E15" s="6">
        <f>3.7854118*994</f>
        <v>3762.6993291999997</v>
      </c>
      <c r="F15" s="19">
        <f>3.7854118*1081.157</f>
        <v>4092.6244654525995</v>
      </c>
      <c r="G15" s="19">
        <f>3.7854118*1107.463</f>
        <v>4192.2035082634</v>
      </c>
      <c r="H15" s="42">
        <f>3.7854118*1032.597</f>
        <v>3908.8048684446</v>
      </c>
      <c r="I15" s="19">
        <f>3.7854118*1261.002</f>
        <v>4773.4118506236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2.75">
      <c r="A16" s="18" t="s">
        <v>2</v>
      </c>
      <c r="B16" s="19"/>
      <c r="C16" s="19"/>
      <c r="D16" s="1"/>
      <c r="E16" s="10"/>
      <c r="F16" s="19"/>
      <c r="G16" s="19"/>
      <c r="H16" s="19"/>
      <c r="I16" s="10"/>
      <c r="J16" s="10"/>
      <c r="K16" s="10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3.5" thickBot="1">
      <c r="A17" s="25" t="s">
        <v>18</v>
      </c>
      <c r="B17" s="26">
        <f>634622*0.0283168466</f>
        <v>17970.4938229852</v>
      </c>
      <c r="C17" s="26">
        <f>659816*0.0283168466</f>
        <v>18683.9084562256</v>
      </c>
      <c r="D17" s="27">
        <f>642210*0.0283168466</f>
        <v>18185.362054986</v>
      </c>
      <c r="E17" s="27">
        <f>624964*0.0283168466</f>
        <v>17697.0097185224</v>
      </c>
      <c r="F17" s="26">
        <f>666920*0.0283168466</f>
        <v>18885.071334472</v>
      </c>
      <c r="G17" s="26">
        <f>591492*0.0283168466</f>
        <v>16749.1882291272</v>
      </c>
      <c r="H17" s="44">
        <f>566187*0.0283168466</f>
        <v>16032.6304259142</v>
      </c>
      <c r="I17" s="26">
        <f>584779*0.0283168466</f>
        <v>16559.097237901402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2.75">
      <c r="A18" s="38" t="s">
        <v>12</v>
      </c>
      <c r="B18" s="39"/>
      <c r="C18" s="39"/>
      <c r="D18" s="39"/>
      <c r="E18" s="39"/>
      <c r="F18" s="39"/>
      <c r="G18" s="39"/>
      <c r="H18" s="1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2.75">
      <c r="A19" s="34"/>
      <c r="B19" s="35"/>
      <c r="C19" s="35"/>
      <c r="D19" s="35"/>
      <c r="E19" s="35"/>
      <c r="F19" s="35"/>
      <c r="G19" s="35"/>
      <c r="H19" s="1"/>
      <c r="I19" s="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2.75" customHeight="1">
      <c r="A20" s="41" t="s">
        <v>19</v>
      </c>
      <c r="B20" s="41"/>
      <c r="C20" s="41"/>
      <c r="D20" s="41"/>
      <c r="E20" s="41"/>
      <c r="F20" s="41"/>
      <c r="G20" s="41"/>
      <c r="H20" s="1"/>
      <c r="I20" s="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s="13" customFormat="1" ht="13.5" customHeight="1">
      <c r="A21" s="29"/>
      <c r="B21" s="30"/>
      <c r="C21" s="30"/>
      <c r="D21" s="11"/>
      <c r="E21" s="11"/>
      <c r="F21" s="11"/>
      <c r="G21" s="11"/>
      <c r="H21" s="11"/>
      <c r="I21" s="12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</row>
    <row r="22" spans="1:49" s="13" customFormat="1" ht="13.5" customHeight="1">
      <c r="A22" s="29" t="s">
        <v>23</v>
      </c>
      <c r="B22" s="30"/>
      <c r="C22" s="30"/>
      <c r="D22" s="11"/>
      <c r="E22" s="11"/>
      <c r="F22" s="11"/>
      <c r="G22" s="11"/>
      <c r="H22" s="11"/>
      <c r="I22" s="12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</row>
    <row r="23" spans="1:7" ht="25.5" customHeight="1">
      <c r="A23" s="40" t="s">
        <v>24</v>
      </c>
      <c r="B23" s="37"/>
      <c r="C23" s="37"/>
      <c r="D23" s="37"/>
      <c r="E23" s="37"/>
      <c r="F23" s="37"/>
      <c r="G23" s="37"/>
    </row>
    <row r="24" spans="1:7" ht="12.75" customHeight="1">
      <c r="A24" s="40" t="s">
        <v>22</v>
      </c>
      <c r="B24" s="37"/>
      <c r="C24" s="37"/>
      <c r="D24" s="37"/>
      <c r="E24" s="37"/>
      <c r="F24" s="37"/>
      <c r="G24" s="37"/>
    </row>
    <row r="25" spans="1:7" ht="25.5" customHeight="1">
      <c r="A25" s="40" t="s">
        <v>20</v>
      </c>
      <c r="B25" s="37"/>
      <c r="C25" s="37"/>
      <c r="D25" s="37"/>
      <c r="E25" s="37"/>
      <c r="F25" s="37"/>
      <c r="G25" s="37"/>
    </row>
    <row r="26" spans="1:7" ht="25.5" customHeight="1">
      <c r="A26" s="40" t="s">
        <v>21</v>
      </c>
      <c r="B26" s="37"/>
      <c r="C26" s="37"/>
      <c r="D26" s="37"/>
      <c r="E26" s="37"/>
      <c r="F26" s="37"/>
      <c r="G26" s="37"/>
    </row>
    <row r="27" ht="12.75">
      <c r="I27" s="1"/>
    </row>
  </sheetData>
  <mergeCells count="7">
    <mergeCell ref="A25:G25"/>
    <mergeCell ref="A26:G26"/>
    <mergeCell ref="A1:G1"/>
    <mergeCell ref="A18:G18"/>
    <mergeCell ref="A23:G23"/>
    <mergeCell ref="A24:G24"/>
    <mergeCell ref="A20:G20"/>
  </mergeCells>
  <printOptions horizontalCentered="1"/>
  <pageMargins left="1" right="1" top="1" bottom="1" header="0.25" footer="0.25"/>
  <pageSetup fitToHeight="0" fitToWidth="1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USDOT/RSPA/Volpe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Sharon Kim</cp:lastModifiedBy>
  <cp:lastPrinted>2007-08-02T18:55:55Z</cp:lastPrinted>
  <dcterms:created xsi:type="dcterms:W3CDTF">1999-07-27T00:49:59Z</dcterms:created>
  <dcterms:modified xsi:type="dcterms:W3CDTF">2007-11-29T20:29:01Z</dcterms:modified>
  <cp:category/>
  <cp:version/>
  <cp:contentType/>
  <cp:contentStatus/>
</cp:coreProperties>
</file>